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Mike\Stress Testing\"/>
    </mc:Choice>
  </mc:AlternateContent>
  <xr:revisionPtr revIDLastSave="0" documentId="13_ncr:1_{6A193936-BAEE-4743-A79B-F9A64B43B2AF}" xr6:coauthVersionLast="47" xr6:coauthVersionMax="47" xr10:uidLastSave="{00000000-0000-0000-0000-000000000000}"/>
  <workbookProtection workbookAlgorithmName="SHA-512" workbookHashValue="/nurWVdD6hxNY1fvWR4hKSY+H2q5gQSOAcGbakx+Omkztp1m7IDZ0s7WY0WWzx6Gp0mDzXMqckb8YvfWaY9Ldw==" workbookSaltValue="jIFa+Ru06SmfpmoW2g7ajw==" workbookSpinCount="100000" lockStructure="1"/>
  <bookViews>
    <workbookView xWindow="28680" yWindow="60" windowWidth="29040" windowHeight="17640" firstSheet="1" activeTab="1" xr2:uid="{C30BACA4-EC3D-4C94-9CD9-C9EB3C640809}"/>
  </bookViews>
  <sheets>
    <sheet name="Summary" sheetId="9" r:id="rId1"/>
    <sheet name="Stress Testing Calculations" sheetId="2" r:id="rId2"/>
    <sheet name="Farm data" sheetId="3" r:id="rId3"/>
    <sheet name="Hotel data" sheetId="1" r:id="rId4"/>
    <sheet name="Apartment data" sheetId="4" r:id="rId5"/>
    <sheet name="Retail property data" sheetId="6" r:id="rId6"/>
    <sheet name="Office property data" sheetId="7" r:id="rId7"/>
    <sheet name="Oil related CRE data" sheetId="8"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Summary!$A$1:$N$195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2" l="1"/>
  <c r="B60" i="2"/>
  <c r="B6" i="2" l="1"/>
  <c r="B7" i="2"/>
  <c r="B77" i="2" l="1"/>
  <c r="B76" i="2"/>
  <c r="B59" i="2"/>
  <c r="D59" i="2" s="1"/>
  <c r="B58" i="2"/>
  <c r="B46" i="2"/>
  <c r="B45" i="2"/>
  <c r="D45" i="2" s="1"/>
  <c r="B44" i="2"/>
  <c r="B32" i="2"/>
  <c r="B31" i="2"/>
  <c r="D31" i="2" s="1"/>
  <c r="B30" i="2"/>
  <c r="B16" i="2"/>
  <c r="B18" i="2"/>
  <c r="B17" i="2"/>
  <c r="D17" i="2" s="1"/>
  <c r="C141" i="9" l="1"/>
  <c r="C109" i="9"/>
  <c r="C77" i="9"/>
  <c r="C45" i="9"/>
  <c r="B3" i="2" l="1"/>
  <c r="D3" i="2" s="1"/>
  <c r="B2" i="2"/>
  <c r="B4" i="2"/>
  <c r="C13" i="9"/>
  <c r="G69" i="2" l="1"/>
  <c r="F69" i="2"/>
  <c r="E69" i="2"/>
  <c r="D69" i="2"/>
  <c r="C69" i="2"/>
  <c r="G64" i="2"/>
  <c r="F64" i="2"/>
  <c r="E64" i="2"/>
  <c r="D64" i="2"/>
  <c r="C64" i="2"/>
  <c r="G63" i="2"/>
  <c r="F63" i="2"/>
  <c r="E63" i="2"/>
  <c r="D63" i="2"/>
  <c r="C63" i="2"/>
  <c r="G62" i="2"/>
  <c r="F62" i="2"/>
  <c r="E62" i="2"/>
  <c r="D62" i="2"/>
  <c r="C62" i="2"/>
  <c r="G6" i="8"/>
  <c r="F6" i="8"/>
  <c r="E6" i="8"/>
  <c r="D6" i="8"/>
  <c r="B69" i="2" l="1"/>
  <c r="C145" i="9" s="1"/>
  <c r="C146" i="9" s="1"/>
  <c r="E146" i="9" s="1"/>
  <c r="B64" i="2"/>
  <c r="B63" i="2"/>
  <c r="B62" i="2"/>
  <c r="H21" i="8"/>
  <c r="G68" i="2" s="1"/>
  <c r="G21" i="8"/>
  <c r="F68" i="2" s="1"/>
  <c r="F21" i="8"/>
  <c r="E68" i="2" s="1"/>
  <c r="E21" i="8"/>
  <c r="D68" i="2" s="1"/>
  <c r="D21" i="8"/>
  <c r="C68" i="2" s="1"/>
  <c r="C21" i="8"/>
  <c r="B68" i="2" s="1"/>
  <c r="H16" i="8"/>
  <c r="G66" i="2" s="1"/>
  <c r="G16" i="8"/>
  <c r="F66" i="2" s="1"/>
  <c r="F16" i="8"/>
  <c r="E66" i="2" s="1"/>
  <c r="E16" i="8"/>
  <c r="D66" i="2" s="1"/>
  <c r="H8" i="8"/>
  <c r="H13" i="8" s="1"/>
  <c r="G65" i="2" s="1"/>
  <c r="F8" i="8"/>
  <c r="F13" i="8" s="1"/>
  <c r="E65" i="2" s="1"/>
  <c r="E8" i="8"/>
  <c r="E11" i="8" s="1"/>
  <c r="E14" i="8" s="1"/>
  <c r="D8" i="8"/>
  <c r="D13" i="8" s="1"/>
  <c r="C65" i="2" s="1"/>
  <c r="G8" i="8"/>
  <c r="D16" i="8"/>
  <c r="C66" i="2" s="1"/>
  <c r="C8" i="8"/>
  <c r="F11" i="8" l="1"/>
  <c r="F14" i="8" s="1"/>
  <c r="G13" i="8"/>
  <c r="F65" i="2" s="1"/>
  <c r="G11" i="8"/>
  <c r="G14" i="8" s="1"/>
  <c r="C13" i="8"/>
  <c r="B65" i="2" s="1"/>
  <c r="C11" i="8"/>
  <c r="C14" i="8" s="1"/>
  <c r="E13" i="8"/>
  <c r="D65" i="2" s="1"/>
  <c r="D11" i="8"/>
  <c r="D14" i="8" s="1"/>
  <c r="H11" i="8"/>
  <c r="H14" i="8" s="1"/>
  <c r="C16" i="8"/>
  <c r="B66" i="2" s="1"/>
  <c r="C149" i="9" s="1"/>
  <c r="C150" i="9" s="1"/>
  <c r="E150" i="9" s="1"/>
  <c r="G6" i="7"/>
  <c r="G55" i="2"/>
  <c r="F55" i="2"/>
  <c r="E55" i="2"/>
  <c r="D55" i="2"/>
  <c r="G50" i="2"/>
  <c r="F50" i="2"/>
  <c r="E50" i="2"/>
  <c r="D50" i="2"/>
  <c r="G49" i="2"/>
  <c r="F49" i="2"/>
  <c r="E49" i="2"/>
  <c r="D49" i="2"/>
  <c r="G48" i="2"/>
  <c r="F48" i="2"/>
  <c r="E48" i="2"/>
  <c r="D48" i="2"/>
  <c r="C55" i="2"/>
  <c r="C50" i="2"/>
  <c r="C49" i="2"/>
  <c r="C48" i="2"/>
  <c r="D6" i="7"/>
  <c r="B55" i="2" l="1"/>
  <c r="C113" i="9" s="1"/>
  <c r="C114" i="9" s="1"/>
  <c r="E114" i="9" s="1"/>
  <c r="B50" i="2"/>
  <c r="B49" i="2"/>
  <c r="B48" i="2"/>
  <c r="C6" i="7"/>
  <c r="C8" i="7" s="1"/>
  <c r="H22" i="7"/>
  <c r="G54" i="2" s="1"/>
  <c r="G22" i="7"/>
  <c r="F54" i="2" s="1"/>
  <c r="F22" i="7"/>
  <c r="E54" i="2" s="1"/>
  <c r="E22" i="7"/>
  <c r="D54" i="2" s="1"/>
  <c r="D22" i="7"/>
  <c r="C54" i="2" s="1"/>
  <c r="C22" i="7"/>
  <c r="B54" i="2" s="1"/>
  <c r="H17" i="7"/>
  <c r="G52" i="2" s="1"/>
  <c r="G17" i="7"/>
  <c r="F52" i="2" s="1"/>
  <c r="D17" i="7"/>
  <c r="C52" i="2" s="1"/>
  <c r="H8" i="7"/>
  <c r="H11" i="7" s="1"/>
  <c r="H14" i="7" s="1"/>
  <c r="D8" i="7"/>
  <c r="D11" i="7" s="1"/>
  <c r="D14" i="7" s="1"/>
  <c r="G8" i="7"/>
  <c r="F17" i="7"/>
  <c r="E52" i="2" s="1"/>
  <c r="E17" i="7"/>
  <c r="D52" i="2" s="1"/>
  <c r="I6" i="6"/>
  <c r="G6" i="6"/>
  <c r="F6" i="6"/>
  <c r="E6" i="6"/>
  <c r="H41" i="2"/>
  <c r="G41" i="2"/>
  <c r="F41" i="2"/>
  <c r="E41" i="2"/>
  <c r="D41" i="2"/>
  <c r="C41" i="2"/>
  <c r="H36" i="2"/>
  <c r="G36" i="2"/>
  <c r="F36" i="2"/>
  <c r="E36" i="2"/>
  <c r="D36" i="2"/>
  <c r="C36" i="2"/>
  <c r="H35" i="2"/>
  <c r="G35" i="2"/>
  <c r="F35" i="2"/>
  <c r="E35" i="2"/>
  <c r="D35" i="2"/>
  <c r="C35" i="2"/>
  <c r="H34" i="2"/>
  <c r="G34" i="2"/>
  <c r="F34" i="2"/>
  <c r="E34" i="2"/>
  <c r="D34" i="2"/>
  <c r="C34" i="2"/>
  <c r="C17" i="7" l="1"/>
  <c r="B52" i="2" s="1"/>
  <c r="C117" i="9"/>
  <c r="C118" i="9" s="1"/>
  <c r="E118" i="9" s="1"/>
  <c r="F53" i="2"/>
  <c r="E67" i="2"/>
  <c r="G67" i="2"/>
  <c r="D67" i="2"/>
  <c r="C67" i="2"/>
  <c r="F67" i="2"/>
  <c r="B67" i="2"/>
  <c r="B53" i="2"/>
  <c r="G53" i="2"/>
  <c r="C53" i="2"/>
  <c r="G11" i="7"/>
  <c r="G14" i="7" s="1"/>
  <c r="G13" i="7"/>
  <c r="F51" i="2" s="1"/>
  <c r="E8" i="7"/>
  <c r="D53" i="2" s="1"/>
  <c r="C13" i="7"/>
  <c r="B51" i="2" s="1"/>
  <c r="F8" i="7"/>
  <c r="E53" i="2" s="1"/>
  <c r="C11" i="7"/>
  <c r="C14" i="7" s="1"/>
  <c r="D13" i="7"/>
  <c r="C51" i="2" s="1"/>
  <c r="H13" i="7"/>
  <c r="G51" i="2" s="1"/>
  <c r="M21" i="6"/>
  <c r="L21" i="6"/>
  <c r="K21" i="6"/>
  <c r="J21" i="6"/>
  <c r="I21" i="6"/>
  <c r="H40" i="2" s="1"/>
  <c r="H21" i="6"/>
  <c r="G40" i="2" s="1"/>
  <c r="G21" i="6"/>
  <c r="F40" i="2" s="1"/>
  <c r="F21" i="6"/>
  <c r="E40" i="2" s="1"/>
  <c r="E21" i="6"/>
  <c r="D40" i="2" s="1"/>
  <c r="D21" i="6"/>
  <c r="C40" i="2" s="1"/>
  <c r="F8" i="6"/>
  <c r="K16" i="6"/>
  <c r="J16" i="6"/>
  <c r="I8" i="6"/>
  <c r="H16" i="6"/>
  <c r="G38" i="2" s="1"/>
  <c r="G16" i="6"/>
  <c r="F38" i="2" s="1"/>
  <c r="F16" i="6"/>
  <c r="E38" i="2" s="1"/>
  <c r="E8" i="6"/>
  <c r="D8" i="6"/>
  <c r="B41" i="2"/>
  <c r="C81" i="9" s="1"/>
  <c r="C82" i="9" s="1"/>
  <c r="E82" i="9" s="1"/>
  <c r="B36" i="2"/>
  <c r="B35" i="2"/>
  <c r="B34" i="2"/>
  <c r="C21" i="6"/>
  <c r="B40" i="2" s="1"/>
  <c r="C16" i="6"/>
  <c r="B38" i="2" s="1"/>
  <c r="Q7" i="1"/>
  <c r="Q17" i="1" s="1"/>
  <c r="O7" i="1"/>
  <c r="O17" i="1" s="1"/>
  <c r="Q22" i="1"/>
  <c r="P22" i="1"/>
  <c r="O22" i="1"/>
  <c r="Q9" i="1"/>
  <c r="Q14" i="1" s="1"/>
  <c r="P17" i="1"/>
  <c r="C153" i="9" l="1"/>
  <c r="C154" i="9" s="1"/>
  <c r="E154" i="9" s="1"/>
  <c r="C121" i="9"/>
  <c r="C122" i="9" s="1"/>
  <c r="E122" i="9" s="1"/>
  <c r="F13" i="7"/>
  <c r="E51" i="2" s="1"/>
  <c r="F11" i="7"/>
  <c r="F14" i="7" s="1"/>
  <c r="E13" i="7"/>
  <c r="D51" i="2" s="1"/>
  <c r="E11" i="7"/>
  <c r="E14" i="7" s="1"/>
  <c r="E39" i="2"/>
  <c r="C39" i="2"/>
  <c r="H39" i="2"/>
  <c r="D39" i="2"/>
  <c r="E13" i="6"/>
  <c r="D37" i="2" s="1"/>
  <c r="E11" i="6"/>
  <c r="E14" i="6" s="1"/>
  <c r="I13" i="6"/>
  <c r="H37" i="2" s="1"/>
  <c r="I11" i="6"/>
  <c r="I14" i="6" s="1"/>
  <c r="D11" i="6"/>
  <c r="D14" i="6" s="1"/>
  <c r="D13" i="6"/>
  <c r="C37" i="2" s="1"/>
  <c r="D16" i="6"/>
  <c r="C38" i="2" s="1"/>
  <c r="G8" i="6"/>
  <c r="F39" i="2" s="1"/>
  <c r="E16" i="6"/>
  <c r="D38" i="2" s="1"/>
  <c r="I16" i="6"/>
  <c r="H38" i="2" s="1"/>
  <c r="M16" i="6"/>
  <c r="L16" i="6"/>
  <c r="H8" i="6"/>
  <c r="G39" i="2" s="1"/>
  <c r="F11" i="6"/>
  <c r="F14" i="6" s="1"/>
  <c r="F13" i="6"/>
  <c r="E37" i="2" s="1"/>
  <c r="C8" i="6"/>
  <c r="B39" i="2" s="1"/>
  <c r="Q12" i="1"/>
  <c r="Q15" i="1" s="1"/>
  <c r="O9" i="1"/>
  <c r="P9" i="1"/>
  <c r="N7" i="1"/>
  <c r="M9" i="1"/>
  <c r="L7" i="1"/>
  <c r="J7" i="1"/>
  <c r="C89" i="9" l="1"/>
  <c r="C90" i="9" s="1"/>
  <c r="E90" i="9" s="1"/>
  <c r="C85" i="9"/>
  <c r="C86" i="9" s="1"/>
  <c r="E86" i="9" s="1"/>
  <c r="G11" i="6"/>
  <c r="G14" i="6" s="1"/>
  <c r="G13" i="6"/>
  <c r="F37" i="2" s="1"/>
  <c r="H13" i="6"/>
  <c r="G37" i="2" s="1"/>
  <c r="H11" i="6"/>
  <c r="H14" i="6" s="1"/>
  <c r="C13" i="6"/>
  <c r="B37" i="2" s="1"/>
  <c r="C11" i="6"/>
  <c r="C14" i="6" s="1"/>
  <c r="O12" i="1"/>
  <c r="O15" i="1" s="1"/>
  <c r="O14" i="1"/>
  <c r="P14" i="1"/>
  <c r="P12" i="1"/>
  <c r="P15" i="1" s="1"/>
  <c r="N22" i="1"/>
  <c r="M22" i="1"/>
  <c r="L22" i="1"/>
  <c r="K22" i="1"/>
  <c r="J22" i="1"/>
  <c r="I22" i="1"/>
  <c r="H22" i="1"/>
  <c r="G22" i="1"/>
  <c r="F22" i="1"/>
  <c r="N17" i="1"/>
  <c r="J17" i="1"/>
  <c r="F17" i="1"/>
  <c r="N9" i="1"/>
  <c r="N14" i="1" s="1"/>
  <c r="M14" i="1"/>
  <c r="J9" i="1"/>
  <c r="J14" i="1" s="1"/>
  <c r="I9" i="1"/>
  <c r="I14" i="1" s="1"/>
  <c r="F9" i="1"/>
  <c r="F14" i="1" s="1"/>
  <c r="M17" i="1"/>
  <c r="L17" i="1"/>
  <c r="K17" i="1"/>
  <c r="I17" i="1"/>
  <c r="H17" i="1"/>
  <c r="G17" i="1"/>
  <c r="AA27" i="2"/>
  <c r="Z27" i="2"/>
  <c r="Y27" i="2"/>
  <c r="X27" i="2"/>
  <c r="W27" i="2"/>
  <c r="V27" i="2"/>
  <c r="AA22" i="2"/>
  <c r="Z22" i="2"/>
  <c r="Y22" i="2"/>
  <c r="X22" i="2"/>
  <c r="W22" i="2"/>
  <c r="V22" i="2"/>
  <c r="AA21" i="2"/>
  <c r="Z21" i="2"/>
  <c r="Y21" i="2"/>
  <c r="X21" i="2"/>
  <c r="W21" i="2"/>
  <c r="V21" i="2"/>
  <c r="AA20" i="2"/>
  <c r="Z20" i="2"/>
  <c r="Y20" i="2"/>
  <c r="X20" i="2"/>
  <c r="W20" i="2"/>
  <c r="V20" i="2"/>
  <c r="AB6" i="4"/>
  <c r="V6" i="4"/>
  <c r="M12" i="1" l="1"/>
  <c r="M15" i="1" s="1"/>
  <c r="I12" i="1"/>
  <c r="I15" i="1" s="1"/>
  <c r="G9" i="1"/>
  <c r="K9" i="1"/>
  <c r="F12" i="1"/>
  <c r="F15" i="1" s="1"/>
  <c r="J12" i="1"/>
  <c r="J15" i="1" s="1"/>
  <c r="N12" i="1"/>
  <c r="N15" i="1" s="1"/>
  <c r="H9" i="1"/>
  <c r="L9" i="1"/>
  <c r="S6" i="4"/>
  <c r="R10" i="4"/>
  <c r="P6" i="4"/>
  <c r="K14" i="1" l="1"/>
  <c r="K12" i="1"/>
  <c r="K15" i="1" s="1"/>
  <c r="L12" i="1"/>
  <c r="L15" i="1" s="1"/>
  <c r="L14" i="1"/>
  <c r="H12" i="1"/>
  <c r="H15" i="1" s="1"/>
  <c r="H14" i="1"/>
  <c r="G14" i="1"/>
  <c r="G12" i="1"/>
  <c r="G15" i="1" s="1"/>
  <c r="M6" i="4"/>
  <c r="K8" i="4"/>
  <c r="I6" i="4"/>
  <c r="G6" i="4" l="1"/>
  <c r="AC21" i="4"/>
  <c r="AB21" i="4"/>
  <c r="AA26" i="2" s="1"/>
  <c r="AA21" i="4"/>
  <c r="Z26" i="2" s="1"/>
  <c r="Z21" i="4"/>
  <c r="Y26" i="2" s="1"/>
  <c r="Y21" i="4"/>
  <c r="X26" i="2" s="1"/>
  <c r="X21" i="4"/>
  <c r="W26" i="2" s="1"/>
  <c r="W21" i="4"/>
  <c r="V26" i="2" s="1"/>
  <c r="V21" i="4"/>
  <c r="U21" i="4"/>
  <c r="T21" i="4"/>
  <c r="S21" i="4"/>
  <c r="R21" i="4"/>
  <c r="Q21" i="4"/>
  <c r="P21" i="4"/>
  <c r="O21" i="4"/>
  <c r="N21" i="4"/>
  <c r="M21" i="4"/>
  <c r="L21" i="4"/>
  <c r="K21" i="4"/>
  <c r="J21" i="4"/>
  <c r="I21" i="4"/>
  <c r="H21" i="4"/>
  <c r="G21" i="4"/>
  <c r="F21" i="4"/>
  <c r="AC16" i="4"/>
  <c r="AB16" i="4"/>
  <c r="AA24" i="2" s="1"/>
  <c r="AA16" i="4"/>
  <c r="Z24" i="2" s="1"/>
  <c r="Z16" i="4"/>
  <c r="Y24" i="2" s="1"/>
  <c r="Y16" i="4"/>
  <c r="X24" i="2" s="1"/>
  <c r="X16" i="4"/>
  <c r="W24" i="2" s="1"/>
  <c r="W16" i="4"/>
  <c r="V24" i="2" s="1"/>
  <c r="V16" i="4"/>
  <c r="U16" i="4"/>
  <c r="T16" i="4"/>
  <c r="S16" i="4"/>
  <c r="R16" i="4"/>
  <c r="Q16" i="4"/>
  <c r="P16" i="4"/>
  <c r="O16" i="4"/>
  <c r="N16" i="4"/>
  <c r="M16" i="4"/>
  <c r="L16" i="4"/>
  <c r="K16" i="4"/>
  <c r="J16" i="4"/>
  <c r="I16" i="4"/>
  <c r="H16" i="4"/>
  <c r="G16" i="4"/>
  <c r="F6" i="4"/>
  <c r="F16" i="4" s="1"/>
  <c r="AB8" i="4" l="1"/>
  <c r="AA8" i="4"/>
  <c r="Z8" i="4"/>
  <c r="Y8" i="4"/>
  <c r="X8" i="4"/>
  <c r="X11" i="4" s="1"/>
  <c r="W8" i="4"/>
  <c r="V8" i="4"/>
  <c r="U8" i="4"/>
  <c r="T8" i="4"/>
  <c r="S8" i="4"/>
  <c r="R8" i="4"/>
  <c r="Q8" i="4"/>
  <c r="P8" i="4"/>
  <c r="O8" i="4"/>
  <c r="N8" i="4"/>
  <c r="M8" i="4"/>
  <c r="L8" i="4"/>
  <c r="J8" i="4"/>
  <c r="I8" i="4"/>
  <c r="H8" i="4"/>
  <c r="G8" i="4"/>
  <c r="F8" i="4"/>
  <c r="E6" i="4"/>
  <c r="E16" i="4" s="1"/>
  <c r="D24" i="2" s="1"/>
  <c r="C6" i="4"/>
  <c r="C8" i="4" s="1"/>
  <c r="U27" i="2"/>
  <c r="T27" i="2"/>
  <c r="S27" i="2"/>
  <c r="R27" i="2"/>
  <c r="Q27" i="2"/>
  <c r="P27" i="2"/>
  <c r="O27" i="2"/>
  <c r="N27" i="2"/>
  <c r="M27" i="2"/>
  <c r="L27" i="2"/>
  <c r="K27" i="2"/>
  <c r="J27" i="2"/>
  <c r="I27" i="2"/>
  <c r="H27" i="2"/>
  <c r="G27" i="2"/>
  <c r="F27" i="2"/>
  <c r="E27" i="2"/>
  <c r="D27" i="2"/>
  <c r="C27" i="2"/>
  <c r="U26" i="2"/>
  <c r="T26" i="2"/>
  <c r="S26" i="2"/>
  <c r="R26" i="2"/>
  <c r="Q26" i="2"/>
  <c r="P26" i="2"/>
  <c r="O26" i="2"/>
  <c r="N26" i="2"/>
  <c r="M26" i="2"/>
  <c r="L26" i="2"/>
  <c r="K26" i="2"/>
  <c r="J26" i="2"/>
  <c r="I26" i="2"/>
  <c r="H26" i="2"/>
  <c r="G26" i="2"/>
  <c r="F26" i="2"/>
  <c r="E26" i="2"/>
  <c r="U24" i="2"/>
  <c r="T24" i="2"/>
  <c r="S24" i="2"/>
  <c r="R24" i="2"/>
  <c r="Q24" i="2"/>
  <c r="P24" i="2"/>
  <c r="O24" i="2"/>
  <c r="N24" i="2"/>
  <c r="M24" i="2"/>
  <c r="L24" i="2"/>
  <c r="K24" i="2"/>
  <c r="J24" i="2"/>
  <c r="I24" i="2"/>
  <c r="H24" i="2"/>
  <c r="G24" i="2"/>
  <c r="F24" i="2"/>
  <c r="E24" i="2"/>
  <c r="U22" i="2"/>
  <c r="T22" i="2"/>
  <c r="S22" i="2"/>
  <c r="R22" i="2"/>
  <c r="Q22" i="2"/>
  <c r="P22" i="2"/>
  <c r="O22" i="2"/>
  <c r="N22" i="2"/>
  <c r="M22" i="2"/>
  <c r="L22" i="2"/>
  <c r="K22" i="2"/>
  <c r="J22" i="2"/>
  <c r="I22" i="2"/>
  <c r="H22" i="2"/>
  <c r="G22" i="2"/>
  <c r="F22" i="2"/>
  <c r="E22" i="2"/>
  <c r="D22" i="2"/>
  <c r="C22" i="2"/>
  <c r="B22" i="2"/>
  <c r="U21" i="2"/>
  <c r="T21" i="2"/>
  <c r="S21" i="2"/>
  <c r="R21" i="2"/>
  <c r="Q21" i="2"/>
  <c r="P21" i="2"/>
  <c r="O21" i="2"/>
  <c r="N21" i="2"/>
  <c r="M21" i="2"/>
  <c r="L21" i="2"/>
  <c r="K21" i="2"/>
  <c r="J21" i="2"/>
  <c r="I21" i="2"/>
  <c r="H21" i="2"/>
  <c r="G21" i="2"/>
  <c r="F21" i="2"/>
  <c r="E21" i="2"/>
  <c r="D21" i="2"/>
  <c r="C21" i="2"/>
  <c r="U20" i="2"/>
  <c r="T20" i="2"/>
  <c r="S20" i="2"/>
  <c r="R20" i="2"/>
  <c r="Q20" i="2"/>
  <c r="P20" i="2"/>
  <c r="O20" i="2"/>
  <c r="N20" i="2"/>
  <c r="M20" i="2"/>
  <c r="L20" i="2"/>
  <c r="K20" i="2"/>
  <c r="J20" i="2"/>
  <c r="I20" i="2"/>
  <c r="H20" i="2"/>
  <c r="G20" i="2"/>
  <c r="F20" i="2"/>
  <c r="E20" i="2"/>
  <c r="D20" i="2"/>
  <c r="C20" i="2"/>
  <c r="B27" i="2"/>
  <c r="B8" i="2"/>
  <c r="B21" i="2"/>
  <c r="P7" i="2"/>
  <c r="O7" i="2"/>
  <c r="N7" i="2"/>
  <c r="M7" i="2"/>
  <c r="L7" i="2"/>
  <c r="K7" i="2"/>
  <c r="J7" i="2"/>
  <c r="I7" i="2"/>
  <c r="H7" i="2"/>
  <c r="G7" i="2"/>
  <c r="F7" i="2"/>
  <c r="E7" i="2"/>
  <c r="D7" i="2"/>
  <c r="P6" i="2"/>
  <c r="O6" i="2"/>
  <c r="N6" i="2"/>
  <c r="M6" i="2"/>
  <c r="L6" i="2"/>
  <c r="K6" i="2"/>
  <c r="J6" i="2"/>
  <c r="I6" i="2"/>
  <c r="H6" i="2"/>
  <c r="G6" i="2"/>
  <c r="F6" i="2"/>
  <c r="E6" i="2"/>
  <c r="D6" i="2"/>
  <c r="C7" i="2"/>
  <c r="C6" i="2"/>
  <c r="B20" i="2"/>
  <c r="E21" i="4"/>
  <c r="D26" i="2" s="1"/>
  <c r="D21" i="4"/>
  <c r="C26" i="2" s="1"/>
  <c r="C21" i="4"/>
  <c r="B26" i="2" s="1"/>
  <c r="C16" i="4"/>
  <c r="B24" i="2" s="1"/>
  <c r="D8" i="4"/>
  <c r="D13" i="4" s="1"/>
  <c r="C23" i="2" s="1"/>
  <c r="D16" i="4"/>
  <c r="C24" i="2" s="1"/>
  <c r="E8" i="4" l="1"/>
  <c r="E11" i="4" s="1"/>
  <c r="C53" i="9"/>
  <c r="C54" i="9" s="1"/>
  <c r="E54" i="9" s="1"/>
  <c r="C49" i="9"/>
  <c r="C50" i="9" s="1"/>
  <c r="E50" i="9" s="1"/>
  <c r="X25" i="2"/>
  <c r="AA25" i="2"/>
  <c r="W25" i="2"/>
  <c r="Z25" i="2"/>
  <c r="V25" i="2"/>
  <c r="Y25" i="2"/>
  <c r="J13" i="4"/>
  <c r="I23" i="2" s="1"/>
  <c r="J11" i="4"/>
  <c r="J14" i="4" s="1"/>
  <c r="R13" i="4"/>
  <c r="Q23" i="2" s="1"/>
  <c r="R11" i="4"/>
  <c r="R14" i="4" s="1"/>
  <c r="Z13" i="4"/>
  <c r="Y23" i="2" s="1"/>
  <c r="Z11" i="4"/>
  <c r="Z14" i="4" s="1"/>
  <c r="K13" i="4"/>
  <c r="J23" i="2" s="1"/>
  <c r="K11" i="4"/>
  <c r="K14" i="4" s="1"/>
  <c r="S13" i="4"/>
  <c r="R23" i="2" s="1"/>
  <c r="S11" i="4"/>
  <c r="S14" i="4" s="1"/>
  <c r="AA13" i="4"/>
  <c r="Z23" i="2" s="1"/>
  <c r="AA11" i="4"/>
  <c r="AA14" i="4" s="1"/>
  <c r="H13" i="4"/>
  <c r="G23" i="2" s="1"/>
  <c r="H11" i="4"/>
  <c r="H14" i="4" s="1"/>
  <c r="L13" i="4"/>
  <c r="K23" i="2" s="1"/>
  <c r="L11" i="4"/>
  <c r="L14" i="4" s="1"/>
  <c r="P13" i="4"/>
  <c r="O23" i="2" s="1"/>
  <c r="P11" i="4"/>
  <c r="P14" i="4" s="1"/>
  <c r="T13" i="4"/>
  <c r="S23" i="2" s="1"/>
  <c r="T11" i="4"/>
  <c r="T14" i="4" s="1"/>
  <c r="X13" i="4"/>
  <c r="W23" i="2" s="1"/>
  <c r="X14" i="4"/>
  <c r="AB13" i="4"/>
  <c r="AA23" i="2" s="1"/>
  <c r="AB11" i="4"/>
  <c r="AB14" i="4" s="1"/>
  <c r="F13" i="4"/>
  <c r="E23" i="2" s="1"/>
  <c r="F11" i="4"/>
  <c r="F14" i="4" s="1"/>
  <c r="N13" i="4"/>
  <c r="M23" i="2" s="1"/>
  <c r="N11" i="4"/>
  <c r="N14" i="4" s="1"/>
  <c r="V13" i="4"/>
  <c r="U23" i="2" s="1"/>
  <c r="V11" i="4"/>
  <c r="V14" i="4" s="1"/>
  <c r="G13" i="4"/>
  <c r="F23" i="2" s="1"/>
  <c r="G11" i="4"/>
  <c r="G14" i="4" s="1"/>
  <c r="O13" i="4"/>
  <c r="N23" i="2" s="1"/>
  <c r="O11" i="4"/>
  <c r="O14" i="4" s="1"/>
  <c r="W13" i="4"/>
  <c r="V23" i="2" s="1"/>
  <c r="W11" i="4"/>
  <c r="W14" i="4" s="1"/>
  <c r="I13" i="4"/>
  <c r="H23" i="2" s="1"/>
  <c r="I11" i="4"/>
  <c r="I14" i="4" s="1"/>
  <c r="M13" i="4"/>
  <c r="L23" i="2" s="1"/>
  <c r="M11" i="4"/>
  <c r="M14" i="4" s="1"/>
  <c r="Q13" i="4"/>
  <c r="P23" i="2" s="1"/>
  <c r="Q11" i="4"/>
  <c r="Q14" i="4" s="1"/>
  <c r="U13" i="4"/>
  <c r="T23" i="2" s="1"/>
  <c r="U11" i="4"/>
  <c r="U14" i="4" s="1"/>
  <c r="Y13" i="4"/>
  <c r="X23" i="2" s="1"/>
  <c r="Y11" i="4"/>
  <c r="Y14" i="4" s="1"/>
  <c r="R25" i="2"/>
  <c r="G25" i="2"/>
  <c r="K25" i="2"/>
  <c r="O25" i="2"/>
  <c r="S25" i="2"/>
  <c r="H25" i="2"/>
  <c r="L25" i="2"/>
  <c r="P25" i="2"/>
  <c r="T25" i="2"/>
  <c r="E25" i="2"/>
  <c r="I25" i="2"/>
  <c r="M25" i="2"/>
  <c r="Q25" i="2"/>
  <c r="U25" i="2"/>
  <c r="F25" i="2"/>
  <c r="J25" i="2"/>
  <c r="N25" i="2"/>
  <c r="E14" i="4"/>
  <c r="E13" i="4"/>
  <c r="D23" i="2" s="1"/>
  <c r="D25" i="2"/>
  <c r="D11" i="4"/>
  <c r="D14" i="4" s="1"/>
  <c r="C25" i="2"/>
  <c r="B25" i="2"/>
  <c r="C13" i="4"/>
  <c r="B23" i="2" s="1"/>
  <c r="C11" i="4"/>
  <c r="C14" i="4" s="1"/>
  <c r="P13" i="2"/>
  <c r="O13" i="2"/>
  <c r="N13" i="2"/>
  <c r="M13" i="2"/>
  <c r="L13" i="2"/>
  <c r="K13" i="2"/>
  <c r="J13" i="2"/>
  <c r="I13" i="2"/>
  <c r="H13" i="2"/>
  <c r="G13" i="2"/>
  <c r="F13" i="2"/>
  <c r="E13" i="2"/>
  <c r="P12" i="2"/>
  <c r="O12" i="2"/>
  <c r="N12" i="2"/>
  <c r="M12" i="2"/>
  <c r="L12" i="2"/>
  <c r="K12" i="2"/>
  <c r="J12" i="2"/>
  <c r="I12" i="2"/>
  <c r="H12" i="2"/>
  <c r="G12" i="2"/>
  <c r="F12" i="2"/>
  <c r="E12" i="2"/>
  <c r="P10" i="2"/>
  <c r="O10" i="2"/>
  <c r="N10" i="2"/>
  <c r="M10" i="2"/>
  <c r="L10" i="2"/>
  <c r="K10" i="2"/>
  <c r="J10" i="2"/>
  <c r="I10" i="2"/>
  <c r="H10" i="2"/>
  <c r="G10" i="2"/>
  <c r="F10" i="2"/>
  <c r="E10" i="2"/>
  <c r="P9" i="2"/>
  <c r="O9" i="2"/>
  <c r="N9" i="2"/>
  <c r="M9" i="2"/>
  <c r="L9" i="2"/>
  <c r="K9" i="2"/>
  <c r="J9" i="2"/>
  <c r="I9" i="2"/>
  <c r="H9" i="2"/>
  <c r="G9" i="2"/>
  <c r="F9" i="2"/>
  <c r="E9" i="2"/>
  <c r="P8" i="2"/>
  <c r="O8" i="2"/>
  <c r="N8" i="2"/>
  <c r="M8" i="2"/>
  <c r="L8" i="2"/>
  <c r="K8" i="2"/>
  <c r="J8" i="2"/>
  <c r="I8" i="2"/>
  <c r="H8" i="2"/>
  <c r="G8" i="2"/>
  <c r="F8" i="2"/>
  <c r="E8" i="2"/>
  <c r="V5" i="3"/>
  <c r="Q4" i="3"/>
  <c r="C57" i="9" l="1"/>
  <c r="C58" i="9" s="1"/>
  <c r="E58" i="9" s="1"/>
  <c r="O5" i="3"/>
  <c r="T86" i="2"/>
  <c r="U85" i="2"/>
  <c r="T85" i="2"/>
  <c r="S85" i="2"/>
  <c r="R85" i="2"/>
  <c r="Q85" i="2"/>
  <c r="U84" i="2"/>
  <c r="T84" i="2"/>
  <c r="S84" i="2"/>
  <c r="R84" i="2"/>
  <c r="Q84" i="2"/>
  <c r="U82" i="2"/>
  <c r="T82" i="2"/>
  <c r="S82" i="2"/>
  <c r="R82" i="2"/>
  <c r="Q82" i="2"/>
  <c r="U81" i="2"/>
  <c r="T81" i="2"/>
  <c r="S81" i="2"/>
  <c r="R81" i="2"/>
  <c r="Q81" i="2"/>
  <c r="U80" i="2"/>
  <c r="T80" i="2"/>
  <c r="S80" i="2"/>
  <c r="R80" i="2"/>
  <c r="Q80" i="2"/>
  <c r="T12" i="3" l="1"/>
  <c r="V6" i="3"/>
  <c r="V12" i="3" s="1"/>
  <c r="U6" i="3"/>
  <c r="U12" i="3" s="1"/>
  <c r="T6" i="3"/>
  <c r="S6" i="3"/>
  <c r="S12" i="3" s="1"/>
  <c r="R6" i="3"/>
  <c r="R12" i="3" s="1"/>
  <c r="Q86" i="2" s="1"/>
  <c r="Q6" i="3"/>
  <c r="Q12" i="3" s="1"/>
  <c r="P6" i="3"/>
  <c r="P12" i="3" s="1"/>
  <c r="P14" i="3" s="1"/>
  <c r="O6" i="3"/>
  <c r="O12" i="3" s="1"/>
  <c r="N6" i="3"/>
  <c r="N12" i="3" s="1"/>
  <c r="M6" i="3"/>
  <c r="M12" i="3" s="1"/>
  <c r="T14" i="3" l="1"/>
  <c r="T15" i="3"/>
  <c r="S83" i="2" s="1"/>
  <c r="V15" i="3"/>
  <c r="U83" i="2" s="1"/>
  <c r="V14" i="3"/>
  <c r="N15" i="3"/>
  <c r="M83" i="2" s="1"/>
  <c r="N14" i="3"/>
  <c r="S14" i="3"/>
  <c r="S15" i="3"/>
  <c r="R83" i="2" s="1"/>
  <c r="R15" i="3"/>
  <c r="Q83" i="2" s="1"/>
  <c r="R14" i="3"/>
  <c r="O14" i="3"/>
  <c r="O15" i="3"/>
  <c r="N83" i="2" s="1"/>
  <c r="M15" i="3"/>
  <c r="L83" i="2" s="1"/>
  <c r="M14" i="3"/>
  <c r="Q15" i="3"/>
  <c r="P83" i="2" s="1"/>
  <c r="Q14" i="3"/>
  <c r="U15" i="3"/>
  <c r="T83" i="2" s="1"/>
  <c r="U14" i="3"/>
  <c r="P15" i="3"/>
  <c r="L6" i="3"/>
  <c r="L12" i="3" s="1"/>
  <c r="K6" i="3"/>
  <c r="K12" i="3" s="1"/>
  <c r="K15" i="3" s="1"/>
  <c r="J6" i="3"/>
  <c r="J12" i="3" s="1"/>
  <c r="I6" i="3"/>
  <c r="I12" i="3" s="1"/>
  <c r="H6" i="3"/>
  <c r="H12" i="3" s="1"/>
  <c r="G6" i="3"/>
  <c r="G12" i="3" s="1"/>
  <c r="F5" i="3"/>
  <c r="E85" i="2" s="1"/>
  <c r="P86" i="2"/>
  <c r="O86" i="2"/>
  <c r="P85" i="2"/>
  <c r="O85" i="2"/>
  <c r="N85" i="2"/>
  <c r="M85" i="2"/>
  <c r="L85" i="2"/>
  <c r="K85" i="2"/>
  <c r="J85" i="2"/>
  <c r="I85" i="2"/>
  <c r="H85" i="2"/>
  <c r="G85" i="2"/>
  <c r="F85" i="2"/>
  <c r="P84" i="2"/>
  <c r="O84" i="2"/>
  <c r="N84" i="2"/>
  <c r="M84" i="2"/>
  <c r="L84" i="2"/>
  <c r="K84" i="2"/>
  <c r="J84" i="2"/>
  <c r="I84" i="2"/>
  <c r="H84" i="2"/>
  <c r="G84" i="2"/>
  <c r="F84" i="2"/>
  <c r="O83" i="2"/>
  <c r="P82" i="2"/>
  <c r="O82" i="2"/>
  <c r="N82" i="2"/>
  <c r="M82" i="2"/>
  <c r="L82" i="2"/>
  <c r="K82" i="2"/>
  <c r="J82" i="2"/>
  <c r="I82" i="2"/>
  <c r="H82" i="2"/>
  <c r="G82" i="2"/>
  <c r="F82" i="2"/>
  <c r="E82" i="2"/>
  <c r="P81" i="2"/>
  <c r="O81" i="2"/>
  <c r="N81" i="2"/>
  <c r="M81" i="2"/>
  <c r="L81" i="2"/>
  <c r="K81" i="2"/>
  <c r="J81" i="2"/>
  <c r="I81" i="2"/>
  <c r="H81" i="2"/>
  <c r="G81" i="2"/>
  <c r="F81" i="2"/>
  <c r="E81" i="2"/>
  <c r="P80" i="2"/>
  <c r="O80" i="2"/>
  <c r="N80" i="2"/>
  <c r="M80" i="2"/>
  <c r="L80" i="2"/>
  <c r="K80" i="2"/>
  <c r="J80" i="2"/>
  <c r="I80" i="2"/>
  <c r="H80" i="2"/>
  <c r="G80" i="2"/>
  <c r="F80" i="2"/>
  <c r="E80" i="2"/>
  <c r="E6" i="3"/>
  <c r="E12" i="3" s="1"/>
  <c r="B86" i="2"/>
  <c r="D85" i="2"/>
  <c r="D84" i="2"/>
  <c r="D82" i="2"/>
  <c r="D81" i="2"/>
  <c r="D80" i="2"/>
  <c r="C85" i="2"/>
  <c r="B85" i="2"/>
  <c r="D5" i="3"/>
  <c r="D6" i="3"/>
  <c r="D12" i="3" s="1"/>
  <c r="C82" i="2"/>
  <c r="C81" i="2"/>
  <c r="C80" i="2"/>
  <c r="B84" i="2"/>
  <c r="B82" i="2"/>
  <c r="B81" i="2"/>
  <c r="B80" i="2"/>
  <c r="C6" i="3"/>
  <c r="C12" i="3" s="1"/>
  <c r="C178" i="9" l="1"/>
  <c r="C179" i="9" s="1"/>
  <c r="E179" i="9" s="1"/>
  <c r="F6" i="3"/>
  <c r="F12" i="3" s="1"/>
  <c r="E84" i="2"/>
  <c r="J14" i="3"/>
  <c r="J15" i="3"/>
  <c r="I83" i="2" s="1"/>
  <c r="H15" i="3"/>
  <c r="G83" i="2" s="1"/>
  <c r="H14" i="3"/>
  <c r="L15" i="3"/>
  <c r="K83" i="2" s="1"/>
  <c r="L14" i="3"/>
  <c r="I14" i="3"/>
  <c r="I15" i="3"/>
  <c r="H83" i="2" s="1"/>
  <c r="K14" i="3"/>
  <c r="G15" i="3"/>
  <c r="F83" i="2" s="1"/>
  <c r="G14" i="3"/>
  <c r="F15" i="3"/>
  <c r="E83" i="2" s="1"/>
  <c r="F14" i="3"/>
  <c r="J83" i="2"/>
  <c r="I86" i="2"/>
  <c r="G86" i="2"/>
  <c r="E15" i="3"/>
  <c r="D83" i="2" s="1"/>
  <c r="E14" i="3"/>
  <c r="C84" i="2"/>
  <c r="D15" i="3"/>
  <c r="C83" i="2" s="1"/>
  <c r="D14" i="3"/>
  <c r="C15" i="3"/>
  <c r="B83" i="2" s="1"/>
  <c r="C14" i="3"/>
  <c r="E7" i="1"/>
  <c r="E17" i="1" s="1"/>
  <c r="D10" i="2" s="1"/>
  <c r="E22" i="1"/>
  <c r="D12" i="2" s="1"/>
  <c r="D13" i="2"/>
  <c r="D8" i="2"/>
  <c r="D7" i="1"/>
  <c r="C174" i="9" l="1"/>
  <c r="C175" i="9" s="1"/>
  <c r="E175" i="9" s="1"/>
  <c r="E9" i="1"/>
  <c r="E14" i="1" s="1"/>
  <c r="D9" i="2" s="1"/>
  <c r="E12" i="1"/>
  <c r="E15" i="1" s="1"/>
  <c r="O11" i="2" l="1"/>
  <c r="K11" i="2"/>
  <c r="G11" i="2"/>
  <c r="N11" i="2"/>
  <c r="J11" i="2"/>
  <c r="F11" i="2"/>
  <c r="P11" i="2"/>
  <c r="L11" i="2"/>
  <c r="M11" i="2"/>
  <c r="I11" i="2"/>
  <c r="E11" i="2"/>
  <c r="H11" i="2"/>
  <c r="D11" i="2"/>
  <c r="C8" i="2"/>
  <c r="C13" i="2"/>
  <c r="B13" i="2"/>
  <c r="D22" i="1"/>
  <c r="C12" i="2" s="1"/>
  <c r="D17" i="1"/>
  <c r="C10" i="2" s="1"/>
  <c r="D9" i="1"/>
  <c r="D12" i="1" s="1"/>
  <c r="D15" i="1" s="1"/>
  <c r="C17" i="9" l="1"/>
  <c r="C18" i="9" s="1"/>
  <c r="E18" i="9" s="1"/>
  <c r="C11" i="2"/>
  <c r="D14" i="1"/>
  <c r="C9" i="2" s="1"/>
  <c r="C22" i="1"/>
  <c r="B12" i="2" s="1"/>
  <c r="C17" i="1"/>
  <c r="B10" i="2" s="1"/>
  <c r="C21" i="9" s="1"/>
  <c r="C22" i="9" s="1"/>
  <c r="E22" i="9" s="1"/>
  <c r="C9" i="1"/>
  <c r="C12" i="1" s="1"/>
  <c r="C14" i="1" l="1"/>
  <c r="B9" i="2" s="1"/>
  <c r="B11" i="2"/>
  <c r="C25" i="9" s="1"/>
  <c r="C26" i="9" s="1"/>
  <c r="E26" i="9" s="1"/>
  <c r="C15" i="1"/>
  <c r="D78" i="2"/>
  <c r="H86" i="2" s="1"/>
  <c r="F86" i="2" l="1"/>
  <c r="E86" i="2"/>
  <c r="D86" i="2"/>
  <c r="S86" i="2"/>
  <c r="R86" i="2"/>
  <c r="N86" i="2"/>
  <c r="J86" i="2"/>
  <c r="M86" i="2"/>
  <c r="L86" i="2"/>
  <c r="U86" i="2"/>
  <c r="C86" i="2"/>
  <c r="K86" i="2"/>
  <c r="C182" i="9" l="1"/>
  <c r="C183" i="9" s="1"/>
  <c r="E183" i="9" s="1"/>
</calcChain>
</file>

<file path=xl/sharedStrings.xml><?xml version="1.0" encoding="utf-8"?>
<sst xmlns="http://schemas.openxmlformats.org/spreadsheetml/2006/main" count="319" uniqueCount="95">
  <si>
    <t xml:space="preserve">Sales </t>
  </si>
  <si>
    <t>Gross Profit</t>
  </si>
  <si>
    <t>Net Income</t>
  </si>
  <si>
    <t>Non-cash Expense</t>
  </si>
  <si>
    <t>Trad. Cashflow</t>
  </si>
  <si>
    <t>Interest Expense</t>
  </si>
  <si>
    <t>Cash Contr/Distr</t>
  </si>
  <si>
    <t xml:space="preserve">Cash Available </t>
  </si>
  <si>
    <t>Total Debt Reqmts.</t>
  </si>
  <si>
    <t xml:space="preserve">Coverage </t>
  </si>
  <si>
    <t>Coverage after distributions</t>
  </si>
  <si>
    <t>Calculated expenses</t>
  </si>
  <si>
    <t>Total debt</t>
  </si>
  <si>
    <t>Value</t>
  </si>
  <si>
    <t>LTV</t>
  </si>
  <si>
    <t>Actual DSC</t>
  </si>
  <si>
    <t>Data as of</t>
  </si>
  <si>
    <t>Gross profit stress</t>
  </si>
  <si>
    <t>Stressed DSC - Gross profit</t>
  </si>
  <si>
    <t>Stressed DSC - Interest rate</t>
  </si>
  <si>
    <t>Collateral value stress</t>
  </si>
  <si>
    <t>Stressed LTV</t>
  </si>
  <si>
    <t>Borrower</t>
  </si>
  <si>
    <t>Farm</t>
  </si>
  <si>
    <t>Actual LTV</t>
  </si>
  <si>
    <t>Location</t>
  </si>
  <si>
    <t>Projections</t>
  </si>
  <si>
    <t>GROSS INCOME</t>
  </si>
  <si>
    <t>TOTAL EXPENSES</t>
  </si>
  <si>
    <t>NET INCOME</t>
  </si>
  <si>
    <t>ADJUSTMENTS:</t>
  </si>
  <si>
    <t xml:space="preserve">  + DEPRECIATION</t>
  </si>
  <si>
    <t xml:space="preserve">  + INTEREST</t>
  </si>
  <si>
    <t xml:space="preserve">  + OTHER</t>
  </si>
  <si>
    <t xml:space="preserve">  - FAM. LIV./TAXES</t>
  </si>
  <si>
    <t>TRAD'L CASHFLOW</t>
  </si>
  <si>
    <t>P&amp;I PAYMENTS</t>
  </si>
  <si>
    <t>MARGIN</t>
  </si>
  <si>
    <t>DSC RATIO</t>
  </si>
  <si>
    <t>Hotels</t>
  </si>
  <si>
    <t>Projected DSC</t>
  </si>
  <si>
    <t>Expense stress - increase</t>
  </si>
  <si>
    <t>Gross profit stress - decrease</t>
  </si>
  <si>
    <t>Stressed DSC - Increase in expenses</t>
  </si>
  <si>
    <t>Apartments</t>
  </si>
  <si>
    <t>Bismarck, ND</t>
  </si>
  <si>
    <t>estimated interest at 5% of balance</t>
  </si>
  <si>
    <t>Williston, ND</t>
  </si>
  <si>
    <t>Retail</t>
  </si>
  <si>
    <t>Office</t>
  </si>
  <si>
    <t>Oil Related</t>
  </si>
  <si>
    <t>Number of loans rising above 90% LTV based on stress</t>
  </si>
  <si>
    <t>Hotel Stress Testing</t>
  </si>
  <si>
    <t>Dollar amount of hotel loans in test pool</t>
  </si>
  <si>
    <t>Interest Rate Stress (increase in %)</t>
  </si>
  <si>
    <t>Number of loans in test pool</t>
  </si>
  <si>
    <t>Number of loans falling below 1 to 1 debt service coverage</t>
  </si>
  <si>
    <t>Percentage of loans falling below 1 to 1 debt service coverage</t>
  </si>
  <si>
    <t>Apartment Stress Testing</t>
  </si>
  <si>
    <t>Dollar amount of apartment loans in test pool</t>
  </si>
  <si>
    <t>Appraised value stress % (decrease in value)</t>
  </si>
  <si>
    <t>Gross Profit Stress % (decrease in gross profit, leaving expenses static)</t>
  </si>
  <si>
    <t>Retail Property Stress Testing</t>
  </si>
  <si>
    <t>Dollar amount of retail property loans in test pool</t>
  </si>
  <si>
    <t>Farm Operating Stress Testing</t>
  </si>
  <si>
    <t>Farm expense stress % (increase in expenses, leaving profit static)</t>
  </si>
  <si>
    <t>Office Property Stress Testing</t>
  </si>
  <si>
    <t>Dollar amount of office property loans in test pool</t>
  </si>
  <si>
    <t>Oil Related CRE Stress Testing</t>
  </si>
  <si>
    <t>Dollar amount of oil related CRE loans in test pool</t>
  </si>
  <si>
    <t>Percentage of loans tested by dollar amount</t>
  </si>
  <si>
    <t>% of loans rising above 90% LTV based on stress</t>
  </si>
  <si>
    <r>
      <rPr>
        <b/>
        <sz val="14"/>
        <color rgb="FF00B050"/>
        <rFont val="Calibri"/>
        <family val="2"/>
        <scheme val="minor"/>
      </rPr>
      <t xml:space="preserve">Below 90% LTV </t>
    </r>
    <r>
      <rPr>
        <b/>
        <sz val="14"/>
        <color theme="1"/>
        <rFont val="Calibri"/>
        <family val="2"/>
        <scheme val="minor"/>
      </rPr>
      <t xml:space="preserve">                   </t>
    </r>
    <r>
      <rPr>
        <b/>
        <sz val="14"/>
        <color rgb="FFFF0000"/>
        <rFont val="Calibri"/>
        <family val="2"/>
        <scheme val="minor"/>
      </rPr>
      <t xml:space="preserve"> Above 90% LTV</t>
    </r>
  </si>
  <si>
    <r>
      <t xml:space="preserve">Note:  </t>
    </r>
    <r>
      <rPr>
        <sz val="11"/>
        <color theme="1"/>
        <rFont val="Calibri"/>
        <family val="2"/>
        <scheme val="minor"/>
      </rPr>
      <t>All cashflow stress testing scenarios are pre-distribution and pre-contribution.</t>
    </r>
  </si>
  <si>
    <r>
      <rPr>
        <b/>
        <sz val="14"/>
        <color rgb="FF00B050"/>
        <rFont val="Calibri"/>
        <family val="2"/>
        <scheme val="minor"/>
      </rPr>
      <t xml:space="preserve">      Above 1:1 DSC </t>
    </r>
    <r>
      <rPr>
        <b/>
        <sz val="14"/>
        <color theme="1"/>
        <rFont val="Calibri"/>
        <family val="2"/>
        <scheme val="minor"/>
      </rPr>
      <t xml:space="preserve">                   </t>
    </r>
    <r>
      <rPr>
        <b/>
        <sz val="14"/>
        <color rgb="FFFF0000"/>
        <rFont val="Calibri"/>
        <family val="2"/>
        <scheme val="minor"/>
      </rPr>
      <t xml:space="preserve"> Below 1:1 DSC</t>
    </r>
  </si>
  <si>
    <r>
      <t xml:space="preserve">      </t>
    </r>
    <r>
      <rPr>
        <b/>
        <sz val="14"/>
        <color rgb="FF00B050"/>
        <rFont val="Calibri"/>
        <family val="2"/>
        <scheme val="minor"/>
      </rPr>
      <t>Above 1:1 DSC</t>
    </r>
    <r>
      <rPr>
        <b/>
        <sz val="14"/>
        <color theme="1"/>
        <rFont val="Calibri"/>
        <family val="2"/>
        <scheme val="minor"/>
      </rPr>
      <t xml:space="preserve">                </t>
    </r>
    <r>
      <rPr>
        <b/>
        <sz val="14"/>
        <color rgb="FFFF0000"/>
        <rFont val="Calibri"/>
        <family val="2"/>
        <scheme val="minor"/>
      </rPr>
      <t>Below 1:1 DSC</t>
    </r>
  </si>
  <si>
    <t>Farm and Commercial Portfolio Stress Testing Template</t>
  </si>
  <si>
    <t>Borrower Name</t>
  </si>
  <si>
    <t>Financials</t>
  </si>
  <si>
    <t>John Doe</t>
  </si>
  <si>
    <t>Narrative</t>
  </si>
  <si>
    <t xml:space="preserve">This page performs all calculations based on invidiual tabs for each industry.  Yellow highlighted cells are those that exceed stress thresholds.  Additional data can be added to each section if needed.  All cells of this tab are protected.  Password is "test". </t>
  </si>
  <si>
    <t>Yellow highlighted cells can be changed.  All formulas on this page are protected.  Password is "test".</t>
  </si>
  <si>
    <t>2023 Projections</t>
  </si>
  <si>
    <t>2023 projections</t>
  </si>
  <si>
    <t>Annualized 2022</t>
  </si>
  <si>
    <t>12/31/2023 projected</t>
  </si>
  <si>
    <t>Total hotel exposure @ 6/30/23</t>
  </si>
  <si>
    <t>Total apartment exposure @ 6/30/23</t>
  </si>
  <si>
    <t>Total retail property exposure @ 6/30/23</t>
  </si>
  <si>
    <t>Total office property exposure @ 6/30/23</t>
  </si>
  <si>
    <t>Total oil related CRE exposure @ 6/30/23</t>
  </si>
  <si>
    <t>*Blue shaded cells can be changed to stress by different percentages.  Interest rate stress is limited to 1%, 2%, 3%, 4% or 5%</t>
  </si>
  <si>
    <t xml:space="preserve">Interest rate stress - % increase, 1, 2, 3, 4 or 5 </t>
  </si>
  <si>
    <t>Interest rate stress - % increase, 1, 2, 3, 4 or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</si>
</sst>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00_);_(* \(#,##0.00\);_(* &quot;-&quot;_);_(@_)"/>
    <numFmt numFmtId="165" formatCode="_(&quot;$&quot;* #,##0_);_(&quot;$&quot;* \(#,##0\);_(&quot;$&quot;* &quot;-&quot;??_);_(@_)"/>
    <numFmt numFmtId="166" formatCode="_(* #,##0_);_(* \(#,##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u/>
      <sz val="8"/>
      <name val="Arial"/>
      <family val="2"/>
    </font>
    <font>
      <sz val="8"/>
      <name val="Arial"/>
      <family val="2"/>
    </font>
    <font>
      <b/>
      <sz val="8"/>
      <name val="Arial"/>
      <family val="2"/>
    </font>
    <font>
      <u val="singleAccounting"/>
      <sz val="11"/>
      <color theme="1"/>
      <name val="Calibri"/>
      <family val="2"/>
      <scheme val="minor"/>
    </font>
    <font>
      <sz val="11"/>
      <name val="Calibri"/>
      <family val="2"/>
      <scheme val="minor"/>
    </font>
    <font>
      <b/>
      <sz val="12"/>
      <color theme="1"/>
      <name val="Tahoma"/>
      <family val="2"/>
    </font>
    <font>
      <b/>
      <sz val="10"/>
      <color theme="1"/>
      <name val="Tahoma"/>
      <family val="2"/>
    </font>
    <font>
      <b/>
      <sz val="10"/>
      <name val="Tahoma"/>
      <family val="2"/>
    </font>
    <font>
      <b/>
      <sz val="11"/>
      <name val="Calibri"/>
      <family val="2"/>
      <scheme val="minor"/>
    </font>
    <font>
      <b/>
      <u/>
      <sz val="10"/>
      <color theme="1"/>
      <name val="Tahoma"/>
      <family val="2"/>
    </font>
    <font>
      <b/>
      <sz val="18"/>
      <color theme="1"/>
      <name val="Calibri"/>
      <family val="2"/>
      <scheme val="minor"/>
    </font>
    <font>
      <b/>
      <sz val="14"/>
      <color theme="1"/>
      <name val="Calibri"/>
      <family val="2"/>
      <scheme val="minor"/>
    </font>
    <font>
      <b/>
      <sz val="14"/>
      <color rgb="FF00B050"/>
      <name val="Calibri"/>
      <family val="2"/>
      <scheme val="minor"/>
    </font>
    <font>
      <b/>
      <sz val="14"/>
      <color rgb="FFFF0000"/>
      <name val="Calibri"/>
      <family val="2"/>
      <scheme val="minor"/>
    </font>
    <font>
      <sz val="8"/>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41" fontId="4" fillId="0" borderId="0" xfId="0" applyNumberFormat="1" applyFont="1" applyAlignment="1">
      <alignment horizontal="center"/>
    </xf>
    <xf numFmtId="41" fontId="4" fillId="0" borderId="0" xfId="0" applyNumberFormat="1" applyFont="1"/>
    <xf numFmtId="41" fontId="4" fillId="0" borderId="1" xfId="0" applyNumberFormat="1" applyFont="1" applyBorder="1"/>
    <xf numFmtId="2" fontId="5" fillId="0" borderId="0" xfId="0" applyNumberFormat="1" applyFont="1"/>
    <xf numFmtId="0" fontId="5" fillId="0" borderId="0" xfId="0" applyFont="1"/>
    <xf numFmtId="41" fontId="0" fillId="0" borderId="0" xfId="0" applyNumberFormat="1"/>
    <xf numFmtId="44" fontId="0" fillId="0" borderId="0" xfId="1" applyFont="1"/>
    <xf numFmtId="44" fontId="6" fillId="0" borderId="0" xfId="1" applyFont="1"/>
    <xf numFmtId="9" fontId="0" fillId="0" borderId="0" xfId="2" applyFont="1"/>
    <xf numFmtId="10" fontId="0" fillId="0" borderId="0" xfId="2" applyNumberFormat="1" applyFont="1"/>
    <xf numFmtId="0" fontId="2" fillId="0" borderId="0" xfId="0" applyFont="1"/>
    <xf numFmtId="14" fontId="3" fillId="0" borderId="0" xfId="0" applyNumberFormat="1" applyFont="1" applyAlignment="1">
      <alignment horizontal="center" wrapText="1"/>
    </xf>
    <xf numFmtId="0" fontId="0" fillId="4" borderId="2" xfId="0" applyFill="1" applyBorder="1"/>
    <xf numFmtId="0" fontId="0" fillId="4" borderId="3" xfId="0" applyFill="1" applyBorder="1"/>
    <xf numFmtId="0" fontId="0" fillId="4" borderId="4" xfId="0" applyFill="1" applyBorder="1"/>
    <xf numFmtId="9" fontId="0" fillId="4" borderId="5" xfId="2" applyFont="1" applyFill="1" applyBorder="1"/>
    <xf numFmtId="9" fontId="0" fillId="4" borderId="6" xfId="2" applyFont="1" applyFill="1" applyBorder="1"/>
    <xf numFmtId="9" fontId="0" fillId="4" borderId="7" xfId="2" applyFont="1" applyFill="1" applyBorder="1"/>
    <xf numFmtId="0" fontId="2" fillId="2" borderId="8" xfId="0" applyFont="1" applyFill="1" applyBorder="1"/>
    <xf numFmtId="0" fontId="2" fillId="2" borderId="9" xfId="0" applyFont="1" applyFill="1" applyBorder="1" applyAlignment="1">
      <alignment horizontal="left"/>
    </xf>
    <xf numFmtId="0" fontId="2" fillId="0" borderId="9" xfId="0" applyFont="1" applyBorder="1"/>
    <xf numFmtId="0" fontId="2" fillId="0" borderId="10" xfId="0" applyFont="1" applyBorder="1"/>
    <xf numFmtId="0" fontId="2" fillId="2" borderId="9" xfId="0" applyFont="1" applyFill="1" applyBorder="1"/>
    <xf numFmtId="0" fontId="2" fillId="3" borderId="8"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14" fontId="0" fillId="2" borderId="13" xfId="0" applyNumberFormat="1" applyFill="1" applyBorder="1"/>
    <xf numFmtId="14" fontId="0" fillId="2" borderId="13" xfId="0" applyNumberFormat="1" applyFill="1" applyBorder="1" applyAlignment="1">
      <alignment horizontal="right"/>
    </xf>
    <xf numFmtId="165" fontId="4" fillId="5" borderId="14" xfId="1" applyNumberFormat="1" applyFont="1" applyFill="1" applyBorder="1"/>
    <xf numFmtId="2" fontId="4" fillId="5" borderId="14" xfId="1" applyNumberFormat="1" applyFont="1" applyFill="1" applyBorder="1"/>
    <xf numFmtId="0" fontId="5" fillId="5" borderId="15" xfId="0" applyFont="1" applyFill="1" applyBorder="1" applyAlignment="1">
      <alignment horizontal="left"/>
    </xf>
    <xf numFmtId="0" fontId="5" fillId="5" borderId="15" xfId="0" quotePrefix="1" applyFont="1" applyFill="1" applyBorder="1" applyAlignment="1">
      <alignment horizontal="left"/>
    </xf>
    <xf numFmtId="0" fontId="5" fillId="5" borderId="0" xfId="0" applyFont="1" applyFill="1"/>
    <xf numFmtId="14" fontId="4" fillId="0" borderId="0" xfId="0" applyNumberFormat="1" applyFont="1" applyAlignment="1">
      <alignment horizontal="center" wrapText="1"/>
    </xf>
    <xf numFmtId="14" fontId="0" fillId="0" borderId="0" xfId="0" applyNumberFormat="1"/>
    <xf numFmtId="41" fontId="2" fillId="3" borderId="11" xfId="0" applyNumberFormat="1" applyFont="1" applyFill="1" applyBorder="1"/>
    <xf numFmtId="2" fontId="2" fillId="3" borderId="12" xfId="0" applyNumberFormat="1" applyFont="1" applyFill="1" applyBorder="1"/>
    <xf numFmtId="166" fontId="9" fillId="7" borderId="21" xfId="3" applyNumberFormat="1" applyFont="1" applyFill="1" applyBorder="1" applyProtection="1"/>
    <xf numFmtId="10" fontId="9" fillId="7" borderId="21" xfId="2" applyNumberFormat="1" applyFont="1" applyFill="1" applyBorder="1" applyProtection="1"/>
    <xf numFmtId="166" fontId="10" fillId="7" borderId="21" xfId="3" applyNumberFormat="1" applyFont="1" applyFill="1" applyBorder="1" applyProtection="1"/>
    <xf numFmtId="10" fontId="10" fillId="7" borderId="23" xfId="2" applyNumberFormat="1" applyFont="1" applyFill="1" applyBorder="1" applyProtection="1"/>
    <xf numFmtId="0" fontId="12" fillId="0" borderId="0" xfId="0" applyFont="1" applyProtection="1">
      <protection locked="0"/>
    </xf>
    <xf numFmtId="0" fontId="0" fillId="0" borderId="0" xfId="0" applyProtection="1">
      <protection locked="0"/>
    </xf>
    <xf numFmtId="10" fontId="0" fillId="0" borderId="0" xfId="0" applyNumberFormat="1" applyProtection="1">
      <protection locked="0"/>
    </xf>
    <xf numFmtId="0" fontId="10" fillId="7" borderId="4" xfId="0" applyFont="1" applyFill="1" applyBorder="1" applyProtection="1">
      <protection locked="0"/>
    </xf>
    <xf numFmtId="0" fontId="7" fillId="7" borderId="22" xfId="0" applyFont="1" applyFill="1" applyBorder="1" applyProtection="1">
      <protection locked="0"/>
    </xf>
    <xf numFmtId="0" fontId="10" fillId="7" borderId="3" xfId="0" applyFont="1" applyFill="1" applyBorder="1" applyProtection="1">
      <protection locked="0"/>
    </xf>
    <xf numFmtId="0" fontId="7" fillId="7" borderId="0" xfId="0" applyFont="1" applyFill="1" applyProtection="1">
      <protection locked="0"/>
    </xf>
    <xf numFmtId="0" fontId="0" fillId="0" borderId="3" xfId="0" applyBorder="1" applyProtection="1">
      <protection locked="0"/>
    </xf>
    <xf numFmtId="0" fontId="0" fillId="0" borderId="21" xfId="0" applyBorder="1" applyProtection="1">
      <protection locked="0"/>
    </xf>
    <xf numFmtId="9" fontId="11" fillId="8" borderId="21" xfId="2" applyFont="1" applyFill="1" applyBorder="1" applyProtection="1">
      <protection locked="0"/>
    </xf>
    <xf numFmtId="0" fontId="9" fillId="7" borderId="3" xfId="0" applyFont="1" applyFill="1" applyBorder="1" applyProtection="1">
      <protection locked="0"/>
    </xf>
    <xf numFmtId="0" fontId="0" fillId="7" borderId="0" xfId="0" applyFill="1" applyProtection="1">
      <protection locked="0"/>
    </xf>
    <xf numFmtId="9" fontId="2" fillId="8" borderId="21" xfId="2" applyFont="1" applyFill="1" applyBorder="1" applyProtection="1">
      <protection locked="0"/>
    </xf>
    <xf numFmtId="0" fontId="14" fillId="0" borderId="0" xfId="0" applyFont="1" applyProtection="1">
      <protection locked="0"/>
    </xf>
    <xf numFmtId="0" fontId="8" fillId="0" borderId="16" xfId="0" applyFont="1" applyBorder="1" applyProtection="1">
      <protection locked="0"/>
    </xf>
    <xf numFmtId="0" fontId="0" fillId="0" borderId="17" xfId="0" applyBorder="1" applyProtection="1">
      <protection locked="0"/>
    </xf>
    <xf numFmtId="9" fontId="9" fillId="5" borderId="18" xfId="2" applyFont="1" applyFill="1" applyBorder="1" applyProtection="1">
      <protection locked="0"/>
    </xf>
    <xf numFmtId="0" fontId="0" fillId="0" borderId="2" xfId="0" applyBorder="1" applyProtection="1">
      <protection locked="0"/>
    </xf>
    <xf numFmtId="0" fontId="0" fillId="0" borderId="19" xfId="0" applyBorder="1" applyProtection="1">
      <protection locked="0"/>
    </xf>
    <xf numFmtId="0" fontId="0" fillId="0" borderId="20" xfId="0" applyBorder="1" applyProtection="1">
      <protection locked="0"/>
    </xf>
    <xf numFmtId="0" fontId="9" fillId="0" borderId="3" xfId="0" applyFont="1" applyBorder="1" applyProtection="1">
      <protection locked="0"/>
    </xf>
    <xf numFmtId="166" fontId="0" fillId="0" borderId="21" xfId="3" applyNumberFormat="1" applyFont="1" applyBorder="1" applyProtection="1">
      <protection locked="0"/>
    </xf>
    <xf numFmtId="9" fontId="9" fillId="8" borderId="21" xfId="2" applyFont="1" applyFill="1" applyBorder="1" applyProtection="1">
      <protection locked="0"/>
    </xf>
    <xf numFmtId="0" fontId="0" fillId="0" borderId="0" xfId="0" applyAlignment="1" applyProtection="1">
      <alignment horizontal="center"/>
      <protection locked="0"/>
    </xf>
    <xf numFmtId="0" fontId="2" fillId="0" borderId="0" xfId="0" applyFont="1" applyAlignment="1" applyProtection="1">
      <alignment horizontal="left"/>
      <protection locked="0"/>
    </xf>
    <xf numFmtId="0" fontId="2" fillId="8" borderId="0" xfId="0" applyFont="1" applyFill="1" applyProtection="1">
      <protection locked="0"/>
    </xf>
    <xf numFmtId="2" fontId="0" fillId="2" borderId="13" xfId="0" applyNumberFormat="1" applyFill="1" applyBorder="1"/>
    <xf numFmtId="164" fontId="7" fillId="0" borderId="13" xfId="0" applyNumberFormat="1" applyFont="1" applyBorder="1" applyAlignment="1">
      <alignment horizontal="right"/>
    </xf>
    <xf numFmtId="164" fontId="7" fillId="0" borderId="12" xfId="0" applyNumberFormat="1" applyFont="1" applyBorder="1"/>
    <xf numFmtId="9" fontId="7" fillId="2" borderId="11" xfId="2" applyFont="1" applyFill="1" applyBorder="1" applyProtection="1"/>
    <xf numFmtId="9" fontId="0" fillId="0" borderId="12" xfId="2" applyFont="1" applyBorder="1" applyProtection="1"/>
    <xf numFmtId="9" fontId="0" fillId="5" borderId="12" xfId="2" applyFont="1" applyFill="1" applyBorder="1" applyProtection="1"/>
    <xf numFmtId="2" fontId="7" fillId="0" borderId="13" xfId="0" applyNumberFormat="1" applyFont="1" applyBorder="1" applyAlignment="1">
      <alignment horizontal="right"/>
    </xf>
    <xf numFmtId="164" fontId="7" fillId="0" borderId="12" xfId="0" applyNumberFormat="1" applyFont="1" applyBorder="1" applyAlignment="1">
      <alignment horizontal="right"/>
    </xf>
    <xf numFmtId="0" fontId="9" fillId="6" borderId="3" xfId="0" applyFont="1" applyFill="1" applyBorder="1" applyProtection="1">
      <protection locked="0"/>
    </xf>
    <xf numFmtId="0" fontId="0" fillId="6" borderId="0" xfId="0" applyFill="1" applyProtection="1">
      <protection locked="0"/>
    </xf>
    <xf numFmtId="165" fontId="0" fillId="6" borderId="21" xfId="1" applyNumberFormat="1" applyFont="1" applyFill="1" applyBorder="1" applyProtection="1">
      <protection locked="0"/>
    </xf>
    <xf numFmtId="1" fontId="0" fillId="6" borderId="21" xfId="3" applyNumberFormat="1" applyFont="1" applyFill="1" applyBorder="1" applyProtection="1">
      <protection locked="0"/>
    </xf>
    <xf numFmtId="0" fontId="0" fillId="5" borderId="0" xfId="0" applyFill="1" applyAlignment="1">
      <alignment horizontal="left" wrapText="1"/>
    </xf>
    <xf numFmtId="0" fontId="12" fillId="5" borderId="0" xfId="0" applyFont="1" applyFill="1" applyProtection="1">
      <protection locked="0"/>
    </xf>
    <xf numFmtId="0" fontId="0" fillId="5" borderId="0" xfId="0" applyFill="1" applyProtection="1">
      <protection locked="0"/>
    </xf>
    <xf numFmtId="0" fontId="0" fillId="8" borderId="0" xfId="0" applyFill="1" applyAlignment="1" applyProtection="1">
      <alignment horizontal="center"/>
      <protection locked="0"/>
    </xf>
    <xf numFmtId="10" fontId="0" fillId="6" borderId="21" xfId="2" applyNumberFormat="1" applyFont="1" applyFill="1" applyBorder="1" applyProtection="1"/>
    <xf numFmtId="0" fontId="0" fillId="6" borderId="0" xfId="0" applyFill="1" applyAlignment="1" applyProtection="1">
      <alignment vertical="top"/>
      <protection locked="0"/>
    </xf>
    <xf numFmtId="0" fontId="0" fillId="5" borderId="0" xfId="0" applyFill="1" applyAlignment="1" applyProtection="1">
      <alignment vertical="top"/>
      <protection locked="0"/>
    </xf>
    <xf numFmtId="0" fontId="17" fillId="0" borderId="0" xfId="0" applyFont="1" applyAlignment="1">
      <alignment horizontal="center"/>
    </xf>
    <xf numFmtId="14" fontId="17" fillId="0" borderId="0" xfId="0" applyNumberFormat="1" applyFont="1" applyAlignment="1">
      <alignment horizontal="center"/>
    </xf>
    <xf numFmtId="0" fontId="13" fillId="0" borderId="0" xfId="0" applyFont="1" applyAlignment="1" applyProtection="1">
      <alignment horizontal="center"/>
      <protection locked="0"/>
    </xf>
    <xf numFmtId="0" fontId="0" fillId="0" borderId="0" xfId="0"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14" fillId="0" borderId="0" xfId="0" applyFont="1" applyAlignment="1" applyProtection="1">
      <alignment horizontal="center"/>
      <protection locked="0"/>
    </xf>
    <xf numFmtId="0" fontId="2" fillId="7" borderId="0" xfId="0" applyFont="1" applyFill="1" applyAlignment="1">
      <alignment horizontal="left" vertical="top" wrapText="1"/>
    </xf>
  </cellXfs>
  <cellStyles count="4">
    <cellStyle name="Comma" xfId="3" builtinId="3"/>
    <cellStyle name="Currency" xfId="1" builtinId="4"/>
    <cellStyle name="Normal" xfId="0" builtinId="0"/>
    <cellStyle name="Percent" xfId="2" builtinId="5"/>
  </cellStyles>
  <dxfs count="15">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Summary!$A$16:$C$16</c:f>
          <c:strCache>
            <c:ptCount val="3"/>
            <c:pt idx="0">
              <c:v>Appraised value stress % (decrease in value)</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Summary!$A$18</c:f>
              <c:strCache>
                <c:ptCount val="1"/>
                <c:pt idx="0">
                  <c:v>% of loans rising above 90% LTV based on stress</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1-28FF-45F1-845B-2DA4DF5C6D40}"/>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28FF-45F1-845B-2DA4DF5C6D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
              <c:pt idx="0">
                <c:v>dfdffd</c:v>
              </c:pt>
            </c:strLit>
          </c:cat>
          <c:val>
            <c:numRef>
              <c:f>(Summary!$C$18,Summary!$E$18)</c:f>
              <c:numCache>
                <c:formatCode>0.00%</c:formatCode>
                <c:ptCount val="2"/>
                <c:pt idx="0">
                  <c:v>6.6666666666666666E-2</c:v>
                </c:pt>
                <c:pt idx="1">
                  <c:v>0.93333333333333335</c:v>
                </c:pt>
              </c:numCache>
            </c:numRef>
          </c:val>
          <c:extLst>
            <c:ext xmlns:c16="http://schemas.microsoft.com/office/drawing/2014/chart" uri="{C3380CC4-5D6E-409C-BE32-E72D297353CC}">
              <c16:uniqueId val="{00000000-14A0-404E-81DB-CA563F252484}"/>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Summary!$A$112:$C$112</c:f>
          <c:strCache>
            <c:ptCount val="3"/>
            <c:pt idx="0">
              <c:v>Appraised value stress % (decrease in value)</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4814-4128-80A9-2EE76C982556}"/>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4814-4128-80A9-2EE76C98255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(Summary!$C$114,Summary!$E$114)</c:f>
              <c:numCache>
                <c:formatCode>0.00%</c:formatCode>
                <c:ptCount val="2"/>
                <c:pt idx="0">
                  <c:v>0.16666666666666666</c:v>
                </c:pt>
                <c:pt idx="1">
                  <c:v>0.83333333333333337</c:v>
                </c:pt>
              </c:numCache>
            </c:numRef>
          </c:val>
          <c:extLst>
            <c:ext xmlns:c16="http://schemas.microsoft.com/office/drawing/2014/chart" uri="{C3380CC4-5D6E-409C-BE32-E72D297353CC}">
              <c16:uniqueId val="{00000004-4814-4128-80A9-2EE76C982556}"/>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Summary!$A$116:$C$116</c:f>
          <c:strCache>
            <c:ptCount val="3"/>
            <c:pt idx="0">
              <c:v>Gross Profit Stress % (decrease in gross profit, leaving expenses static)</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75F8-477A-A81D-F669E08C202C}"/>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75F8-477A-A81D-F669E08C202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(Summary!$C$118,Summary!$E$118)</c:f>
              <c:numCache>
                <c:formatCode>0.00%</c:formatCode>
                <c:ptCount val="2"/>
                <c:pt idx="0">
                  <c:v>0.5</c:v>
                </c:pt>
                <c:pt idx="1">
                  <c:v>0.5</c:v>
                </c:pt>
              </c:numCache>
            </c:numRef>
          </c:val>
          <c:extLst>
            <c:ext xmlns:c16="http://schemas.microsoft.com/office/drawing/2014/chart" uri="{C3380CC4-5D6E-409C-BE32-E72D297353CC}">
              <c16:uniqueId val="{00000004-75F8-477A-A81D-F669E08C202C}"/>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Summary!$A$120:$C$120</c:f>
          <c:strCache>
            <c:ptCount val="3"/>
            <c:pt idx="0">
              <c:v>Interest Rate Stress (increase in %)</c:v>
            </c:pt>
            <c:pt idx="2">
              <c:v>4%</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04EC-41E1-8F80-FF19FF2F0066}"/>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04EC-41E1-8F80-FF19FF2F0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(Summary!$C$122,Summary!$E$122)</c:f>
              <c:numCache>
                <c:formatCode>0.00%</c:formatCode>
                <c:ptCount val="2"/>
                <c:pt idx="0">
                  <c:v>1</c:v>
                </c:pt>
                <c:pt idx="1">
                  <c:v>0</c:v>
                </c:pt>
              </c:numCache>
            </c:numRef>
          </c:val>
          <c:extLst>
            <c:ext xmlns:c16="http://schemas.microsoft.com/office/drawing/2014/chart" uri="{C3380CC4-5D6E-409C-BE32-E72D297353CC}">
              <c16:uniqueId val="{00000004-04EC-41E1-8F80-FF19FF2F0066}"/>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Summary!$A$144:$C$144</c:f>
          <c:strCache>
            <c:ptCount val="3"/>
            <c:pt idx="0">
              <c:v>Appraised value stress % (decrease in value)</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3C7D-4E84-8721-E44BECBB8A6E}"/>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3C7D-4E84-8721-E44BECBB8A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(Summary!$C$146,Summary!$E$146)</c:f>
              <c:numCache>
                <c:formatCode>0.00%</c:formatCode>
                <c:ptCount val="2"/>
                <c:pt idx="0">
                  <c:v>0.16666666666666666</c:v>
                </c:pt>
                <c:pt idx="1">
                  <c:v>0.83333333333333337</c:v>
                </c:pt>
              </c:numCache>
            </c:numRef>
          </c:val>
          <c:extLst>
            <c:ext xmlns:c16="http://schemas.microsoft.com/office/drawing/2014/chart" uri="{C3380CC4-5D6E-409C-BE32-E72D297353CC}">
              <c16:uniqueId val="{00000004-3C7D-4E84-8721-E44BECBB8A6E}"/>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Summary!$A$148:$C$148</c:f>
          <c:strCache>
            <c:ptCount val="3"/>
            <c:pt idx="0">
              <c:v>Gross Profit Stress % (decrease in gross profit, leaving expenses static)</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8747-4E7B-95B5-B416A8B55E7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8747-4E7B-95B5-B416A8B55E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(Summary!$C$150,Summary!$E$150)</c:f>
              <c:numCache>
                <c:formatCode>0.00%</c:formatCode>
                <c:ptCount val="2"/>
                <c:pt idx="0">
                  <c:v>0.66666666666666663</c:v>
                </c:pt>
                <c:pt idx="1">
                  <c:v>0.33333333333333337</c:v>
                </c:pt>
              </c:numCache>
            </c:numRef>
          </c:val>
          <c:extLst>
            <c:ext xmlns:c16="http://schemas.microsoft.com/office/drawing/2014/chart" uri="{C3380CC4-5D6E-409C-BE32-E72D297353CC}">
              <c16:uniqueId val="{00000004-8747-4E7B-95B5-B416A8B55E7F}"/>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Summary!$A$152:$C$152</c:f>
          <c:strCache>
            <c:ptCount val="3"/>
            <c:pt idx="0">
              <c:v>Interest Rate Stress (increase in %)</c:v>
            </c:pt>
            <c:pt idx="2">
              <c:v>4%</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4282-43B6-9E7C-5F2B7208C40F}"/>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4282-43B6-9E7C-5F2B7208C4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(Summary!$C$154,Summary!$E$154)</c:f>
              <c:numCache>
                <c:formatCode>0.00%</c:formatCode>
                <c:ptCount val="2"/>
                <c:pt idx="0">
                  <c:v>0.83333333333333337</c:v>
                </c:pt>
                <c:pt idx="1">
                  <c:v>0.16666666666666663</c:v>
                </c:pt>
              </c:numCache>
            </c:numRef>
          </c:val>
          <c:extLst>
            <c:ext xmlns:c16="http://schemas.microsoft.com/office/drawing/2014/chart" uri="{C3380CC4-5D6E-409C-BE32-E72D297353CC}">
              <c16:uniqueId val="{00000004-4282-43B6-9E7C-5F2B7208C40F}"/>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Summary!$A$173:$C$173</c:f>
          <c:strCache>
            <c:ptCount val="3"/>
            <c:pt idx="0">
              <c:v>Gross Profit Stress % (decrease in gross profit, leaving expenses static)</c:v>
            </c:pt>
            <c:pt idx="2">
              <c:v>20%</c:v>
            </c:pt>
          </c:strCache>
        </c:strRef>
      </c:tx>
      <c:layout>
        <c:manualLayout>
          <c:xMode val="edge"/>
          <c:yMode val="edge"/>
          <c:x val="0.19868084465272656"/>
          <c:y val="2.7681660899653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8241-41BA-964E-789161563D1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8241-41BA-964E-789161563D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(Summary!$C$175,Summary!$E$175)</c:f>
              <c:numCache>
                <c:formatCode>0.00%</c:formatCode>
                <c:ptCount val="2"/>
                <c:pt idx="0">
                  <c:v>0.85</c:v>
                </c:pt>
                <c:pt idx="1">
                  <c:v>0.15000000000000002</c:v>
                </c:pt>
              </c:numCache>
            </c:numRef>
          </c:val>
          <c:extLst>
            <c:ext xmlns:c16="http://schemas.microsoft.com/office/drawing/2014/chart" uri="{C3380CC4-5D6E-409C-BE32-E72D297353CC}">
              <c16:uniqueId val="{00000004-8241-41BA-964E-789161563D1F}"/>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Summary!$A$177:$C$177</c:f>
          <c:strCache>
            <c:ptCount val="3"/>
            <c:pt idx="0">
              <c:v>Farm expense stress % (increase in expenses, leaving profit static)</c:v>
            </c:pt>
            <c:pt idx="2">
              <c:v>20%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1AA4-45BA-86B6-2B8BB0336802}"/>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1AA4-45BA-86B6-2B8BB03368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(Summary!$C$179,Summary!$E$179)</c:f>
              <c:numCache>
                <c:formatCode>0.00%</c:formatCode>
                <c:ptCount val="2"/>
                <c:pt idx="0">
                  <c:v>0.75</c:v>
                </c:pt>
                <c:pt idx="1">
                  <c:v>0.25</c:v>
                </c:pt>
              </c:numCache>
            </c:numRef>
          </c:val>
          <c:extLst>
            <c:ext xmlns:c16="http://schemas.microsoft.com/office/drawing/2014/chart" uri="{C3380CC4-5D6E-409C-BE32-E72D297353CC}">
              <c16:uniqueId val="{00000004-1AA4-45BA-86B6-2B8BB033680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Summary!$A$181:$C$181</c:f>
          <c:strCache>
            <c:ptCount val="3"/>
            <c:pt idx="0">
              <c:v>Interest Rate Stress (increase in %)</c:v>
            </c:pt>
            <c:pt idx="2">
              <c:v>5%</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C136-480C-9FCA-D4B4AD30CA49}"/>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C136-480C-9FCA-D4B4AD30CA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(Summary!$C$183,Summary!$E$183)</c:f>
              <c:numCache>
                <c:formatCode>0.00%</c:formatCode>
                <c:ptCount val="2"/>
                <c:pt idx="0">
                  <c:v>0.35</c:v>
                </c:pt>
                <c:pt idx="1">
                  <c:v>0.65</c:v>
                </c:pt>
              </c:numCache>
            </c:numRef>
          </c:val>
          <c:extLst>
            <c:ext xmlns:c16="http://schemas.microsoft.com/office/drawing/2014/chart" uri="{C3380CC4-5D6E-409C-BE32-E72D297353CC}">
              <c16:uniqueId val="{00000004-C136-480C-9FCA-D4B4AD30CA49}"/>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Summary!$A$20:$C$20</c:f>
          <c:strCache>
            <c:ptCount val="3"/>
            <c:pt idx="0">
              <c:v>Gross Profit Stress % (decrease in gross profit, leaving expenses static)</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2065-45F7-A095-242308AA8763}"/>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2065-45F7-A095-242308AA87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1"/>
              <c:pt idx="0">
                <c:v>9</c:v>
              </c:pt>
            </c:numLit>
          </c:cat>
          <c:val>
            <c:numRef>
              <c:f>(Summary!$C$22,Summary!$E$22)</c:f>
              <c:numCache>
                <c:formatCode>0.00%</c:formatCode>
                <c:ptCount val="2"/>
                <c:pt idx="0">
                  <c:v>0.66666666666666663</c:v>
                </c:pt>
                <c:pt idx="1">
                  <c:v>0.33333333333333337</c:v>
                </c:pt>
              </c:numCache>
            </c:numRef>
          </c:val>
          <c:extLst>
            <c:ext xmlns:c16="http://schemas.microsoft.com/office/drawing/2014/chart" uri="{C3380CC4-5D6E-409C-BE32-E72D297353CC}">
              <c16:uniqueId val="{00000004-2065-45F7-A095-242308AA8763}"/>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Summary!$A$24:$C$24</c:f>
          <c:strCache>
            <c:ptCount val="3"/>
            <c:pt idx="0">
              <c:v>Interest Rate Stress (increase in %)</c:v>
            </c:pt>
            <c:pt idx="2">
              <c:v>4%</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CEB-48ED-80A5-617F0337832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FCEB-48ED-80A5-617F033783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(Summary!$C$26,Summary!$E$26)</c:f>
              <c:numCache>
                <c:formatCode>0.00%</c:formatCode>
                <c:ptCount val="2"/>
                <c:pt idx="0">
                  <c:v>0.6</c:v>
                </c:pt>
                <c:pt idx="1">
                  <c:v>0.4</c:v>
                </c:pt>
              </c:numCache>
            </c:numRef>
          </c:val>
          <c:extLst>
            <c:ext xmlns:c16="http://schemas.microsoft.com/office/drawing/2014/chart" uri="{C3380CC4-5D6E-409C-BE32-E72D297353CC}">
              <c16:uniqueId val="{00000004-FCEB-48ED-80A5-617F0337832F}"/>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Summary!$A$48:$C$48</c:f>
          <c:strCache>
            <c:ptCount val="3"/>
            <c:pt idx="0">
              <c:v>Appraised value stress % (decrease in value)</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DD76-445A-8616-5AE417E7FF4C}"/>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DD76-445A-8616-5AE417E7FF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(Summary!$C$50,Summary!$E$50)</c:f>
              <c:numCache>
                <c:formatCode>0.00%</c:formatCode>
                <c:ptCount val="2"/>
                <c:pt idx="0">
                  <c:v>0.11538461538461539</c:v>
                </c:pt>
                <c:pt idx="1">
                  <c:v>0.88461538461538458</c:v>
                </c:pt>
              </c:numCache>
            </c:numRef>
          </c:val>
          <c:extLst>
            <c:ext xmlns:c16="http://schemas.microsoft.com/office/drawing/2014/chart" uri="{C3380CC4-5D6E-409C-BE32-E72D297353CC}">
              <c16:uniqueId val="{00000004-DD76-445A-8616-5AE417E7FF4C}"/>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Summary!$A$52:$C$52</c:f>
          <c:strCache>
            <c:ptCount val="3"/>
            <c:pt idx="0">
              <c:v>Gross Profit Stress % (decrease in gross profit, leaving expenses static)</c:v>
            </c:pt>
            <c:pt idx="2">
              <c:v>15%</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rgbClr val="00B050"/>
            </a:solidFill>
          </c:spPr>
          <c:dPt>
            <c:idx val="0"/>
            <c:bubble3D val="0"/>
            <c:spPr>
              <a:solidFill>
                <a:srgbClr val="FF0000"/>
              </a:solidFill>
              <a:ln w="19050">
                <a:solidFill>
                  <a:schemeClr val="lt1"/>
                </a:solidFill>
              </a:ln>
              <a:effectLst/>
            </c:spPr>
            <c:extLst>
              <c:ext xmlns:c16="http://schemas.microsoft.com/office/drawing/2014/chart" uri="{C3380CC4-5D6E-409C-BE32-E72D297353CC}">
                <c16:uniqueId val="{00000001-B4AB-40EB-82CB-352C3C30CD31}"/>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B4AB-40EB-82CB-352C3C30CD31}"/>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5E5B-4531-B5FF-441A1FDB3B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Summary!$C$54:$E$54</c:f>
              <c:numCache>
                <c:formatCode>General</c:formatCode>
                <c:ptCount val="3"/>
                <c:pt idx="0" formatCode="0.00%">
                  <c:v>0.96153846153846156</c:v>
                </c:pt>
                <c:pt idx="2" formatCode="0.00%">
                  <c:v>3.8461538461538436E-2</c:v>
                </c:pt>
              </c:numCache>
            </c:numRef>
          </c:val>
          <c:extLst>
            <c:ext xmlns:c16="http://schemas.microsoft.com/office/drawing/2014/chart" uri="{C3380CC4-5D6E-409C-BE32-E72D297353CC}">
              <c16:uniqueId val="{00000004-B4AB-40EB-82CB-352C3C30CD31}"/>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Summary!$A$56:$C$56</c:f>
          <c:strCache>
            <c:ptCount val="3"/>
            <c:pt idx="0">
              <c:v>Interest Rate Stress (increase in %)</c:v>
            </c:pt>
            <c:pt idx="2">
              <c:v>4%</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9ACE-4981-9F69-C2333691110B}"/>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9ACE-4981-9F69-C233369111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(Summary!$C$58,Summary!$E$58)</c:f>
              <c:numCache>
                <c:formatCode>0.00%</c:formatCode>
                <c:ptCount val="2"/>
                <c:pt idx="0">
                  <c:v>0.96153846153846156</c:v>
                </c:pt>
                <c:pt idx="1">
                  <c:v>3.8461538461538436E-2</c:v>
                </c:pt>
              </c:numCache>
            </c:numRef>
          </c:val>
          <c:extLst>
            <c:ext xmlns:c16="http://schemas.microsoft.com/office/drawing/2014/chart" uri="{C3380CC4-5D6E-409C-BE32-E72D297353CC}">
              <c16:uniqueId val="{00000004-9ACE-4981-9F69-C2333691110B}"/>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Summary!$A$80:$C$80</c:f>
          <c:strCache>
            <c:ptCount val="3"/>
            <c:pt idx="0">
              <c:v>Appraised value stress % (decrease in value)</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6259-48EF-9BCD-B092D5C6DC42}"/>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6259-48EF-9BCD-B092D5C6DC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(Summary!$C$82,Summary!$E$82)</c:f>
              <c:numCache>
                <c:formatCode>0.00%</c:formatCode>
                <c:ptCount val="2"/>
                <c:pt idx="0">
                  <c:v>0</c:v>
                </c:pt>
                <c:pt idx="1">
                  <c:v>1</c:v>
                </c:pt>
              </c:numCache>
            </c:numRef>
          </c:val>
          <c:extLst>
            <c:ext xmlns:c16="http://schemas.microsoft.com/office/drawing/2014/chart" uri="{C3380CC4-5D6E-409C-BE32-E72D297353CC}">
              <c16:uniqueId val="{00000004-6259-48EF-9BCD-B092D5C6DC4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Summary!$A$84:$C$84</c:f>
          <c:strCache>
            <c:ptCount val="3"/>
            <c:pt idx="0">
              <c:v>Gross Profit Stress % (decrease in gross profit, leaving expenses static)</c:v>
            </c:pt>
            <c:pt idx="2">
              <c:v>10%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A11D-4A2E-AFE3-287B992BF6EF}"/>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A11D-4A2E-AFE3-287B992BF6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(Summary!$C$86,Summary!$E$86)</c:f>
              <c:numCache>
                <c:formatCode>0.00%</c:formatCode>
                <c:ptCount val="2"/>
                <c:pt idx="0">
                  <c:v>0.7142857142857143</c:v>
                </c:pt>
                <c:pt idx="1">
                  <c:v>0.2857142857142857</c:v>
                </c:pt>
              </c:numCache>
            </c:numRef>
          </c:val>
          <c:extLst>
            <c:ext xmlns:c16="http://schemas.microsoft.com/office/drawing/2014/chart" uri="{C3380CC4-5D6E-409C-BE32-E72D297353CC}">
              <c16:uniqueId val="{00000004-A11D-4A2E-AFE3-287B992BF6EF}"/>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Summary!$A$88:$C$88</c:f>
          <c:strCache>
            <c:ptCount val="3"/>
            <c:pt idx="0">
              <c:v>Interest Rate Stress (increase in %)</c:v>
            </c:pt>
            <c:pt idx="2">
              <c:v>4%</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04D1-4FD8-8AB5-10141E889101}"/>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04D1-4FD8-8AB5-10141E8891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(Summary!$C$90,Summary!$E$90)</c:f>
              <c:numCache>
                <c:formatCode>0.00%</c:formatCode>
                <c:ptCount val="2"/>
                <c:pt idx="0">
                  <c:v>0.8571428571428571</c:v>
                </c:pt>
                <c:pt idx="1">
                  <c:v>0.1428571428571429</c:v>
                </c:pt>
              </c:numCache>
            </c:numRef>
          </c:val>
          <c:extLst>
            <c:ext xmlns:c16="http://schemas.microsoft.com/office/drawing/2014/chart" uri="{C3380CC4-5D6E-409C-BE32-E72D297353CC}">
              <c16:uniqueId val="{00000004-04D1-4FD8-8AB5-10141E889101}"/>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47625</xdr:colOff>
      <xdr:row>9</xdr:row>
      <xdr:rowOff>9525</xdr:rowOff>
    </xdr:from>
    <xdr:to>
      <xdr:col>5</xdr:col>
      <xdr:colOff>3200400</xdr:colOff>
      <xdr:row>23</xdr:row>
      <xdr:rowOff>76200</xdr:rowOff>
    </xdr:to>
    <xdr:graphicFrame macro="">
      <xdr:nvGraphicFramePr>
        <xdr:cNvPr id="4" name="Chart 3">
          <a:extLst>
            <a:ext uri="{FF2B5EF4-FFF2-40B4-BE49-F238E27FC236}">
              <a16:creationId xmlns:a16="http://schemas.microsoft.com/office/drawing/2014/main" id="{3D71D1FE-8355-495C-B584-DD4691989F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9</xdr:row>
      <xdr:rowOff>9525</xdr:rowOff>
    </xdr:from>
    <xdr:to>
      <xdr:col>7</xdr:col>
      <xdr:colOff>561975</xdr:colOff>
      <xdr:row>23</xdr:row>
      <xdr:rowOff>85725</xdr:rowOff>
    </xdr:to>
    <xdr:graphicFrame macro="">
      <xdr:nvGraphicFramePr>
        <xdr:cNvPr id="7" name="Chart 6">
          <a:extLst>
            <a:ext uri="{FF2B5EF4-FFF2-40B4-BE49-F238E27FC236}">
              <a16:creationId xmlns:a16="http://schemas.microsoft.com/office/drawing/2014/main" id="{C187F49F-8DEF-4269-81C3-01CDFF811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9</xdr:row>
      <xdr:rowOff>0</xdr:rowOff>
    </xdr:from>
    <xdr:to>
      <xdr:col>13</xdr:col>
      <xdr:colOff>104775</xdr:colOff>
      <xdr:row>23</xdr:row>
      <xdr:rowOff>76200</xdr:rowOff>
    </xdr:to>
    <xdr:graphicFrame macro="">
      <xdr:nvGraphicFramePr>
        <xdr:cNvPr id="8" name="Chart 7">
          <a:extLst>
            <a:ext uri="{FF2B5EF4-FFF2-40B4-BE49-F238E27FC236}">
              <a16:creationId xmlns:a16="http://schemas.microsoft.com/office/drawing/2014/main" id="{8E594630-6ED0-48E6-9FCD-AFDB2112E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41</xdr:row>
      <xdr:rowOff>9525</xdr:rowOff>
    </xdr:from>
    <xdr:to>
      <xdr:col>5</xdr:col>
      <xdr:colOff>3200400</xdr:colOff>
      <xdr:row>55</xdr:row>
      <xdr:rowOff>85725</xdr:rowOff>
    </xdr:to>
    <xdr:graphicFrame macro="">
      <xdr:nvGraphicFramePr>
        <xdr:cNvPr id="5" name="Chart 4">
          <a:extLst>
            <a:ext uri="{FF2B5EF4-FFF2-40B4-BE49-F238E27FC236}">
              <a16:creationId xmlns:a16="http://schemas.microsoft.com/office/drawing/2014/main" id="{A91C9180-A05E-422E-AEC3-44FC9777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19050</xdr:colOff>
      <xdr:row>41</xdr:row>
      <xdr:rowOff>9525</xdr:rowOff>
    </xdr:from>
    <xdr:to>
      <xdr:col>7</xdr:col>
      <xdr:colOff>561975</xdr:colOff>
      <xdr:row>55</xdr:row>
      <xdr:rowOff>85725</xdr:rowOff>
    </xdr:to>
    <xdr:graphicFrame macro="">
      <xdr:nvGraphicFramePr>
        <xdr:cNvPr id="6" name="Chart 5">
          <a:extLst>
            <a:ext uri="{FF2B5EF4-FFF2-40B4-BE49-F238E27FC236}">
              <a16:creationId xmlns:a16="http://schemas.microsoft.com/office/drawing/2014/main" id="{6D913837-1504-4300-8E6E-05A477596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41</xdr:row>
      <xdr:rowOff>0</xdr:rowOff>
    </xdr:from>
    <xdr:to>
      <xdr:col>13</xdr:col>
      <xdr:colOff>104775</xdr:colOff>
      <xdr:row>55</xdr:row>
      <xdr:rowOff>76200</xdr:rowOff>
    </xdr:to>
    <xdr:graphicFrame macro="">
      <xdr:nvGraphicFramePr>
        <xdr:cNvPr id="9" name="Chart 8">
          <a:extLst>
            <a:ext uri="{FF2B5EF4-FFF2-40B4-BE49-F238E27FC236}">
              <a16:creationId xmlns:a16="http://schemas.microsoft.com/office/drawing/2014/main" id="{C7A0D4EB-2DEE-47F8-B7C8-95B9D0EDD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47625</xdr:colOff>
      <xdr:row>73</xdr:row>
      <xdr:rowOff>9525</xdr:rowOff>
    </xdr:from>
    <xdr:to>
      <xdr:col>5</xdr:col>
      <xdr:colOff>3200400</xdr:colOff>
      <xdr:row>87</xdr:row>
      <xdr:rowOff>85725</xdr:rowOff>
    </xdr:to>
    <xdr:graphicFrame macro="">
      <xdr:nvGraphicFramePr>
        <xdr:cNvPr id="10" name="Chart 9">
          <a:extLst>
            <a:ext uri="{FF2B5EF4-FFF2-40B4-BE49-F238E27FC236}">
              <a16:creationId xmlns:a16="http://schemas.microsoft.com/office/drawing/2014/main" id="{940667B8-7BAA-4494-AAAE-F9343D6B0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19050</xdr:colOff>
      <xdr:row>73</xdr:row>
      <xdr:rowOff>9525</xdr:rowOff>
    </xdr:from>
    <xdr:to>
      <xdr:col>7</xdr:col>
      <xdr:colOff>561975</xdr:colOff>
      <xdr:row>87</xdr:row>
      <xdr:rowOff>85725</xdr:rowOff>
    </xdr:to>
    <xdr:graphicFrame macro="">
      <xdr:nvGraphicFramePr>
        <xdr:cNvPr id="11" name="Chart 10">
          <a:extLst>
            <a:ext uri="{FF2B5EF4-FFF2-40B4-BE49-F238E27FC236}">
              <a16:creationId xmlns:a16="http://schemas.microsoft.com/office/drawing/2014/main" id="{BD2A71DD-E41A-4FC9-AB7D-9978CB81C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73</xdr:row>
      <xdr:rowOff>0</xdr:rowOff>
    </xdr:from>
    <xdr:to>
      <xdr:col>13</xdr:col>
      <xdr:colOff>104775</xdr:colOff>
      <xdr:row>87</xdr:row>
      <xdr:rowOff>76200</xdr:rowOff>
    </xdr:to>
    <xdr:graphicFrame macro="">
      <xdr:nvGraphicFramePr>
        <xdr:cNvPr id="12" name="Chart 11">
          <a:extLst>
            <a:ext uri="{FF2B5EF4-FFF2-40B4-BE49-F238E27FC236}">
              <a16:creationId xmlns:a16="http://schemas.microsoft.com/office/drawing/2014/main" id="{154C66A5-479F-45BE-A1DC-E247BEDC4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47625</xdr:colOff>
      <xdr:row>105</xdr:row>
      <xdr:rowOff>9525</xdr:rowOff>
    </xdr:from>
    <xdr:to>
      <xdr:col>5</xdr:col>
      <xdr:colOff>3200400</xdr:colOff>
      <xdr:row>119</xdr:row>
      <xdr:rowOff>85725</xdr:rowOff>
    </xdr:to>
    <xdr:graphicFrame macro="">
      <xdr:nvGraphicFramePr>
        <xdr:cNvPr id="13" name="Chart 12">
          <a:extLst>
            <a:ext uri="{FF2B5EF4-FFF2-40B4-BE49-F238E27FC236}">
              <a16:creationId xmlns:a16="http://schemas.microsoft.com/office/drawing/2014/main" id="{4458AC9A-961A-48D8-BD17-596E14C20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19050</xdr:colOff>
      <xdr:row>105</xdr:row>
      <xdr:rowOff>9525</xdr:rowOff>
    </xdr:from>
    <xdr:to>
      <xdr:col>7</xdr:col>
      <xdr:colOff>561975</xdr:colOff>
      <xdr:row>119</xdr:row>
      <xdr:rowOff>85725</xdr:rowOff>
    </xdr:to>
    <xdr:graphicFrame macro="">
      <xdr:nvGraphicFramePr>
        <xdr:cNvPr id="14" name="Chart 13">
          <a:extLst>
            <a:ext uri="{FF2B5EF4-FFF2-40B4-BE49-F238E27FC236}">
              <a16:creationId xmlns:a16="http://schemas.microsoft.com/office/drawing/2014/main" id="{2C558323-FF5B-49F6-A3FD-37AA8A9B6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105</xdr:row>
      <xdr:rowOff>0</xdr:rowOff>
    </xdr:from>
    <xdr:to>
      <xdr:col>13</xdr:col>
      <xdr:colOff>104775</xdr:colOff>
      <xdr:row>119</xdr:row>
      <xdr:rowOff>76200</xdr:rowOff>
    </xdr:to>
    <xdr:graphicFrame macro="">
      <xdr:nvGraphicFramePr>
        <xdr:cNvPr id="15" name="Chart 14">
          <a:extLst>
            <a:ext uri="{FF2B5EF4-FFF2-40B4-BE49-F238E27FC236}">
              <a16:creationId xmlns:a16="http://schemas.microsoft.com/office/drawing/2014/main" id="{7B27AA87-35EB-49F3-AADE-26418F907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47625</xdr:colOff>
      <xdr:row>137</xdr:row>
      <xdr:rowOff>9525</xdr:rowOff>
    </xdr:from>
    <xdr:to>
      <xdr:col>5</xdr:col>
      <xdr:colOff>3200400</xdr:colOff>
      <xdr:row>151</xdr:row>
      <xdr:rowOff>85725</xdr:rowOff>
    </xdr:to>
    <xdr:graphicFrame macro="">
      <xdr:nvGraphicFramePr>
        <xdr:cNvPr id="16" name="Chart 15">
          <a:extLst>
            <a:ext uri="{FF2B5EF4-FFF2-40B4-BE49-F238E27FC236}">
              <a16:creationId xmlns:a16="http://schemas.microsoft.com/office/drawing/2014/main" id="{75576F50-A878-46F4-94CA-814175AE5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19050</xdr:colOff>
      <xdr:row>137</xdr:row>
      <xdr:rowOff>9525</xdr:rowOff>
    </xdr:from>
    <xdr:to>
      <xdr:col>7</xdr:col>
      <xdr:colOff>561975</xdr:colOff>
      <xdr:row>151</xdr:row>
      <xdr:rowOff>85725</xdr:rowOff>
    </xdr:to>
    <xdr:graphicFrame macro="">
      <xdr:nvGraphicFramePr>
        <xdr:cNvPr id="17" name="Chart 16">
          <a:extLst>
            <a:ext uri="{FF2B5EF4-FFF2-40B4-BE49-F238E27FC236}">
              <a16:creationId xmlns:a16="http://schemas.microsoft.com/office/drawing/2014/main" id="{03AF9922-854D-4879-85E5-89F95EE34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137</xdr:row>
      <xdr:rowOff>0</xdr:rowOff>
    </xdr:from>
    <xdr:to>
      <xdr:col>13</xdr:col>
      <xdr:colOff>104775</xdr:colOff>
      <xdr:row>151</xdr:row>
      <xdr:rowOff>76200</xdr:rowOff>
    </xdr:to>
    <xdr:graphicFrame macro="">
      <xdr:nvGraphicFramePr>
        <xdr:cNvPr id="18" name="Chart 17">
          <a:extLst>
            <a:ext uri="{FF2B5EF4-FFF2-40B4-BE49-F238E27FC236}">
              <a16:creationId xmlns:a16="http://schemas.microsoft.com/office/drawing/2014/main" id="{6C67574D-BDE0-497A-BB2F-2D9474BFB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47625</xdr:colOff>
      <xdr:row>169</xdr:row>
      <xdr:rowOff>9525</xdr:rowOff>
    </xdr:from>
    <xdr:to>
      <xdr:col>5</xdr:col>
      <xdr:colOff>3200400</xdr:colOff>
      <xdr:row>183</xdr:row>
      <xdr:rowOff>85725</xdr:rowOff>
    </xdr:to>
    <xdr:graphicFrame macro="">
      <xdr:nvGraphicFramePr>
        <xdr:cNvPr id="19" name="Chart 18">
          <a:extLst>
            <a:ext uri="{FF2B5EF4-FFF2-40B4-BE49-F238E27FC236}">
              <a16:creationId xmlns:a16="http://schemas.microsoft.com/office/drawing/2014/main" id="{55FAAD03-CC6E-4FF4-80C0-B9609F183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19050</xdr:colOff>
      <xdr:row>169</xdr:row>
      <xdr:rowOff>9525</xdr:rowOff>
    </xdr:from>
    <xdr:to>
      <xdr:col>7</xdr:col>
      <xdr:colOff>561975</xdr:colOff>
      <xdr:row>183</xdr:row>
      <xdr:rowOff>85725</xdr:rowOff>
    </xdr:to>
    <xdr:graphicFrame macro="">
      <xdr:nvGraphicFramePr>
        <xdr:cNvPr id="20" name="Chart 19">
          <a:extLst>
            <a:ext uri="{FF2B5EF4-FFF2-40B4-BE49-F238E27FC236}">
              <a16:creationId xmlns:a16="http://schemas.microsoft.com/office/drawing/2014/main" id="{EA8F68A6-DCD9-4196-B9D5-E021A6E5A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169</xdr:row>
      <xdr:rowOff>0</xdr:rowOff>
    </xdr:from>
    <xdr:to>
      <xdr:col>13</xdr:col>
      <xdr:colOff>104775</xdr:colOff>
      <xdr:row>183</xdr:row>
      <xdr:rowOff>76200</xdr:rowOff>
    </xdr:to>
    <xdr:graphicFrame macro="">
      <xdr:nvGraphicFramePr>
        <xdr:cNvPr id="21" name="Chart 20">
          <a:extLst>
            <a:ext uri="{FF2B5EF4-FFF2-40B4-BE49-F238E27FC236}">
              <a16:creationId xmlns:a16="http://schemas.microsoft.com/office/drawing/2014/main" id="{B9ADDF65-936F-4724-89E8-7639E08224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9ACC-2F3B-467C-BDDB-C626751C1210}">
  <sheetPr>
    <pageSetUpPr fitToPage="1"/>
  </sheetPr>
  <dimension ref="A1:M198"/>
  <sheetViews>
    <sheetView topLeftCell="A41" workbookViewId="0">
      <selection activeCell="C141" sqref="C141"/>
    </sheetView>
  </sheetViews>
  <sheetFormatPr defaultColWidth="9.140625" defaultRowHeight="15" x14ac:dyDescent="0.25"/>
  <cols>
    <col min="1" max="1" width="78.28515625" style="44" customWidth="1"/>
    <col min="2" max="2" width="9.140625" style="44"/>
    <col min="3" max="3" width="15.42578125" style="44" bestFit="1" customWidth="1"/>
    <col min="4" max="4" width="5.85546875" style="44" customWidth="1"/>
    <col min="5" max="5" width="0.28515625" style="44" customWidth="1"/>
    <col min="6" max="6" width="52.5703125" style="44" customWidth="1"/>
    <col min="7" max="7" width="43.85546875" style="44" customWidth="1"/>
    <col min="8" max="8" width="13.42578125" style="44" customWidth="1"/>
    <col min="9" max="16384" width="9.140625" style="44"/>
  </cols>
  <sheetData>
    <row r="1" spans="1:13" x14ac:dyDescent="0.25">
      <c r="A1" s="90" t="s">
        <v>76</v>
      </c>
      <c r="B1" s="90"/>
      <c r="C1" s="90"/>
      <c r="D1" s="90"/>
      <c r="E1" s="90"/>
      <c r="F1" s="90"/>
      <c r="G1" s="90"/>
      <c r="H1" s="90"/>
      <c r="I1" s="90"/>
    </row>
    <row r="2" spans="1:13" x14ac:dyDescent="0.25">
      <c r="A2" s="90"/>
      <c r="B2" s="90"/>
      <c r="C2" s="90"/>
      <c r="D2" s="90"/>
      <c r="E2" s="90"/>
      <c r="F2" s="90"/>
      <c r="G2" s="90"/>
      <c r="H2" s="90"/>
      <c r="I2" s="90"/>
    </row>
    <row r="3" spans="1:13" x14ac:dyDescent="0.25">
      <c r="A3" s="86" t="s">
        <v>82</v>
      </c>
      <c r="B3" s="86"/>
      <c r="C3" s="87"/>
      <c r="D3" s="87"/>
      <c r="E3" s="87"/>
      <c r="F3" s="87"/>
      <c r="G3" s="87"/>
      <c r="H3" s="87"/>
      <c r="I3" s="87"/>
    </row>
    <row r="4" spans="1:13" x14ac:dyDescent="0.25">
      <c r="A4" s="68" t="s">
        <v>92</v>
      </c>
      <c r="B4" s="84"/>
      <c r="C4" s="84"/>
      <c r="D4" s="84"/>
      <c r="E4" s="66"/>
      <c r="F4" s="66"/>
      <c r="G4" s="66"/>
      <c r="H4" s="66"/>
      <c r="I4" s="66"/>
    </row>
    <row r="5" spans="1:13" x14ac:dyDescent="0.25">
      <c r="A5" s="66"/>
      <c r="B5" s="66"/>
      <c r="C5" s="66"/>
      <c r="D5" s="66"/>
      <c r="E5" s="66"/>
      <c r="F5" s="66"/>
      <c r="G5" s="66"/>
      <c r="H5" s="66"/>
      <c r="I5" s="66"/>
    </row>
    <row r="6" spans="1:13" x14ac:dyDescent="0.25">
      <c r="A6" s="67" t="s">
        <v>73</v>
      </c>
      <c r="B6" s="66"/>
      <c r="C6" s="66"/>
      <c r="D6" s="66"/>
      <c r="E6" s="66"/>
      <c r="F6" s="66"/>
      <c r="G6" s="66"/>
      <c r="H6" s="66"/>
      <c r="I6" s="66"/>
    </row>
    <row r="8" spans="1:13" ht="19.5" thickBot="1" x14ac:dyDescent="0.35">
      <c r="F8" s="56" t="s">
        <v>72</v>
      </c>
      <c r="G8" s="56" t="s">
        <v>74</v>
      </c>
      <c r="I8" s="93" t="s">
        <v>75</v>
      </c>
      <c r="J8" s="93"/>
      <c r="K8" s="93"/>
      <c r="L8" s="93"/>
      <c r="M8" s="93"/>
    </row>
    <row r="9" spans="1:13" ht="16.5" thickBot="1" x14ac:dyDescent="0.3">
      <c r="A9" s="57" t="s">
        <v>52</v>
      </c>
      <c r="B9" s="58"/>
      <c r="C9" s="59"/>
    </row>
    <row r="10" spans="1:13" x14ac:dyDescent="0.25">
      <c r="A10" s="60"/>
      <c r="B10" s="61"/>
      <c r="C10" s="62"/>
    </row>
    <row r="11" spans="1:13" x14ac:dyDescent="0.25">
      <c r="A11" s="77" t="s">
        <v>87</v>
      </c>
      <c r="B11" s="78"/>
      <c r="C11" s="79">
        <v>200000000</v>
      </c>
    </row>
    <row r="12" spans="1:13" x14ac:dyDescent="0.25">
      <c r="A12" s="77" t="s">
        <v>53</v>
      </c>
      <c r="B12" s="78"/>
      <c r="C12" s="79">
        <v>60000000</v>
      </c>
    </row>
    <row r="13" spans="1:13" x14ac:dyDescent="0.25">
      <c r="A13" s="77" t="s">
        <v>70</v>
      </c>
      <c r="B13" s="78"/>
      <c r="C13" s="85">
        <f>C12/C11</f>
        <v>0.3</v>
      </c>
    </row>
    <row r="14" spans="1:13" x14ac:dyDescent="0.25">
      <c r="A14" s="77" t="s">
        <v>55</v>
      </c>
      <c r="B14" s="78"/>
      <c r="C14" s="80">
        <v>15</v>
      </c>
    </row>
    <row r="15" spans="1:13" x14ac:dyDescent="0.25">
      <c r="A15" s="63"/>
      <c r="C15" s="64"/>
    </row>
    <row r="16" spans="1:13" x14ac:dyDescent="0.25">
      <c r="A16" s="53" t="s">
        <v>60</v>
      </c>
      <c r="B16" s="54"/>
      <c r="C16" s="65">
        <v>0.1</v>
      </c>
    </row>
    <row r="17" spans="1:5" x14ac:dyDescent="0.25">
      <c r="A17" s="53" t="s">
        <v>51</v>
      </c>
      <c r="B17" s="54"/>
      <c r="C17" s="39">
        <f>COUNTIF('Stress Testing Calculations'!13:13,"&gt;0.9")</f>
        <v>1</v>
      </c>
    </row>
    <row r="18" spans="1:5" x14ac:dyDescent="0.25">
      <c r="A18" s="53" t="s">
        <v>71</v>
      </c>
      <c r="B18" s="54"/>
      <c r="C18" s="40">
        <f>C17/C14</f>
        <v>6.6666666666666666E-2</v>
      </c>
      <c r="E18" s="45">
        <f>1-C18</f>
        <v>0.93333333333333335</v>
      </c>
    </row>
    <row r="19" spans="1:5" x14ac:dyDescent="0.25">
      <c r="A19" s="50"/>
      <c r="C19" s="51"/>
      <c r="E19" s="45"/>
    </row>
    <row r="20" spans="1:5" x14ac:dyDescent="0.25">
      <c r="A20" s="53" t="s">
        <v>61</v>
      </c>
      <c r="B20" s="54"/>
      <c r="C20" s="55">
        <v>0.1</v>
      </c>
    </row>
    <row r="21" spans="1:5" x14ac:dyDescent="0.25">
      <c r="A21" s="53" t="s">
        <v>56</v>
      </c>
      <c r="B21" s="54"/>
      <c r="C21" s="39">
        <f>COUNTIF('Stress Testing Calculations'!10:10,"&lt;1.0")</f>
        <v>10</v>
      </c>
    </row>
    <row r="22" spans="1:5" x14ac:dyDescent="0.25">
      <c r="A22" s="53" t="s">
        <v>57</v>
      </c>
      <c r="B22" s="54"/>
      <c r="C22" s="40">
        <f>C21/C14</f>
        <v>0.66666666666666663</v>
      </c>
      <c r="E22" s="45">
        <f>1-C22</f>
        <v>0.33333333333333337</v>
      </c>
    </row>
    <row r="23" spans="1:5" x14ac:dyDescent="0.25">
      <c r="A23" s="50"/>
      <c r="C23" s="51"/>
    </row>
    <row r="24" spans="1:5" x14ac:dyDescent="0.25">
      <c r="A24" s="48" t="s">
        <v>54</v>
      </c>
      <c r="B24" s="49"/>
      <c r="C24" s="52">
        <v>0.04</v>
      </c>
    </row>
    <row r="25" spans="1:5" x14ac:dyDescent="0.25">
      <c r="A25" s="48" t="s">
        <v>56</v>
      </c>
      <c r="B25" s="49"/>
      <c r="C25" s="41">
        <f>COUNTIF('Stress Testing Calculations'!11:11,"&lt;1.0")</f>
        <v>9</v>
      </c>
    </row>
    <row r="26" spans="1:5" ht="15.75" thickBot="1" x14ac:dyDescent="0.3">
      <c r="A26" s="46" t="s">
        <v>57</v>
      </c>
      <c r="B26" s="47"/>
      <c r="C26" s="42">
        <f>C25/C14</f>
        <v>0.6</v>
      </c>
      <c r="E26" s="45">
        <f>1-C26</f>
        <v>0.4</v>
      </c>
    </row>
    <row r="28" spans="1:5" x14ac:dyDescent="0.25">
      <c r="A28" s="82" t="s">
        <v>80</v>
      </c>
      <c r="B28" s="83"/>
      <c r="C28" s="83"/>
    </row>
    <row r="29" spans="1:5" ht="14.85" customHeight="1" x14ac:dyDescent="0.25">
      <c r="A29" s="92"/>
      <c r="B29" s="92"/>
      <c r="C29" s="92"/>
    </row>
    <row r="30" spans="1:5" x14ac:dyDescent="0.25">
      <c r="A30" s="92"/>
      <c r="B30" s="92"/>
      <c r="C30" s="92"/>
    </row>
    <row r="31" spans="1:5" x14ac:dyDescent="0.25">
      <c r="A31" s="92"/>
      <c r="B31" s="92"/>
      <c r="C31" s="92"/>
    </row>
    <row r="32" spans="1:5" x14ac:dyDescent="0.25">
      <c r="A32" s="92"/>
      <c r="B32" s="92"/>
      <c r="C32" s="92"/>
    </row>
    <row r="33" spans="1:13" x14ac:dyDescent="0.25">
      <c r="A33" s="92"/>
      <c r="B33" s="92"/>
      <c r="C33" s="92"/>
    </row>
    <row r="34" spans="1:13" ht="70.5" customHeight="1" x14ac:dyDescent="0.25">
      <c r="A34" s="92"/>
      <c r="B34" s="92"/>
      <c r="C34" s="92"/>
    </row>
    <row r="35" spans="1:13" x14ac:dyDescent="0.25">
      <c r="A35" s="92"/>
      <c r="B35" s="92"/>
      <c r="C35" s="92"/>
    </row>
    <row r="36" spans="1:13" x14ac:dyDescent="0.25">
      <c r="A36" s="92"/>
      <c r="B36" s="92"/>
      <c r="C36" s="92"/>
    </row>
    <row r="37" spans="1:13" x14ac:dyDescent="0.25">
      <c r="A37" s="92"/>
      <c r="B37" s="92"/>
      <c r="C37" s="92"/>
    </row>
    <row r="38" spans="1:13" x14ac:dyDescent="0.25">
      <c r="A38" s="92"/>
      <c r="B38" s="92"/>
      <c r="C38" s="92"/>
    </row>
    <row r="40" spans="1:13" ht="19.5" thickBot="1" x14ac:dyDescent="0.35">
      <c r="F40" s="56" t="s">
        <v>72</v>
      </c>
      <c r="G40" s="56" t="s">
        <v>74</v>
      </c>
      <c r="I40" s="93" t="s">
        <v>75</v>
      </c>
      <c r="J40" s="93"/>
      <c r="K40" s="93"/>
      <c r="L40" s="93"/>
      <c r="M40" s="93"/>
    </row>
    <row r="41" spans="1:13" ht="16.5" thickBot="1" x14ac:dyDescent="0.3">
      <c r="A41" s="57" t="s">
        <v>58</v>
      </c>
      <c r="B41" s="58"/>
      <c r="C41" s="59"/>
    </row>
    <row r="42" spans="1:13" x14ac:dyDescent="0.25">
      <c r="A42" s="60"/>
      <c r="B42" s="61"/>
      <c r="C42" s="62"/>
    </row>
    <row r="43" spans="1:13" x14ac:dyDescent="0.25">
      <c r="A43" s="77" t="s">
        <v>88</v>
      </c>
      <c r="B43" s="78"/>
      <c r="C43" s="79">
        <v>475000000</v>
      </c>
    </row>
    <row r="44" spans="1:13" x14ac:dyDescent="0.25">
      <c r="A44" s="77" t="s">
        <v>59</v>
      </c>
      <c r="B44" s="78"/>
      <c r="C44" s="79">
        <v>115000000</v>
      </c>
    </row>
    <row r="45" spans="1:13" x14ac:dyDescent="0.25">
      <c r="A45" s="77" t="s">
        <v>70</v>
      </c>
      <c r="B45" s="78"/>
      <c r="C45" s="85">
        <f>C44/C43</f>
        <v>0.24210526315789474</v>
      </c>
    </row>
    <row r="46" spans="1:13" x14ac:dyDescent="0.25">
      <c r="A46" s="77" t="s">
        <v>55</v>
      </c>
      <c r="B46" s="78"/>
      <c r="C46" s="80">
        <v>26</v>
      </c>
    </row>
    <row r="47" spans="1:13" x14ac:dyDescent="0.25">
      <c r="A47" s="63"/>
      <c r="C47" s="64"/>
    </row>
    <row r="48" spans="1:13" x14ac:dyDescent="0.25">
      <c r="A48" s="53" t="s">
        <v>60</v>
      </c>
      <c r="B48" s="54"/>
      <c r="C48" s="65">
        <v>0.1</v>
      </c>
    </row>
    <row r="49" spans="1:5" x14ac:dyDescent="0.25">
      <c r="A49" s="53" t="s">
        <v>51</v>
      </c>
      <c r="B49" s="54"/>
      <c r="C49" s="39">
        <f>COUNTIF('Stress Testing Calculations'!27:27,"&gt;0.9")</f>
        <v>3</v>
      </c>
    </row>
    <row r="50" spans="1:5" x14ac:dyDescent="0.25">
      <c r="A50" s="53" t="s">
        <v>71</v>
      </c>
      <c r="B50" s="54"/>
      <c r="C50" s="40">
        <f>C49/C46</f>
        <v>0.11538461538461539</v>
      </c>
      <c r="E50" s="45">
        <f>1-C50</f>
        <v>0.88461538461538458</v>
      </c>
    </row>
    <row r="51" spans="1:5" x14ac:dyDescent="0.25">
      <c r="A51" s="50"/>
      <c r="C51" s="51"/>
      <c r="E51" s="45"/>
    </row>
    <row r="52" spans="1:5" x14ac:dyDescent="0.25">
      <c r="A52" s="53" t="s">
        <v>61</v>
      </c>
      <c r="B52" s="54"/>
      <c r="C52" s="55">
        <v>0.15</v>
      </c>
    </row>
    <row r="53" spans="1:5" x14ac:dyDescent="0.25">
      <c r="A53" s="53" t="s">
        <v>56</v>
      </c>
      <c r="B53" s="54"/>
      <c r="C53" s="39">
        <f>COUNTIF('Stress Testing Calculations'!24:24,"&lt;1.0")</f>
        <v>25</v>
      </c>
    </row>
    <row r="54" spans="1:5" x14ac:dyDescent="0.25">
      <c r="A54" s="53" t="s">
        <v>57</v>
      </c>
      <c r="B54" s="54"/>
      <c r="C54" s="40">
        <f>C53/C46</f>
        <v>0.96153846153846156</v>
      </c>
      <c r="E54" s="45">
        <f>1-C54</f>
        <v>3.8461538461538436E-2</v>
      </c>
    </row>
    <row r="55" spans="1:5" x14ac:dyDescent="0.25">
      <c r="A55" s="50"/>
      <c r="C55" s="51"/>
    </row>
    <row r="56" spans="1:5" x14ac:dyDescent="0.25">
      <c r="A56" s="48" t="s">
        <v>54</v>
      </c>
      <c r="B56" s="49"/>
      <c r="C56" s="52">
        <v>0.04</v>
      </c>
    </row>
    <row r="57" spans="1:5" x14ac:dyDescent="0.25">
      <c r="A57" s="48" t="s">
        <v>56</v>
      </c>
      <c r="B57" s="49"/>
      <c r="C57" s="41">
        <f>COUNTIF('Stress Testing Calculations'!25:25,"&lt;1.0")</f>
        <v>25</v>
      </c>
    </row>
    <row r="58" spans="1:5" ht="15.75" thickBot="1" x14ac:dyDescent="0.3">
      <c r="A58" s="46" t="s">
        <v>57</v>
      </c>
      <c r="B58" s="47"/>
      <c r="C58" s="42">
        <f>C57/C46</f>
        <v>0.96153846153846156</v>
      </c>
      <c r="E58" s="45">
        <f>1-C58</f>
        <v>3.8461538461538436E-2</v>
      </c>
    </row>
    <row r="60" spans="1:5" x14ac:dyDescent="0.25">
      <c r="A60" s="43"/>
    </row>
    <row r="61" spans="1:5" x14ac:dyDescent="0.25">
      <c r="A61" s="91"/>
      <c r="B61" s="91"/>
      <c r="C61" s="91"/>
    </row>
    <row r="62" spans="1:5" x14ac:dyDescent="0.25">
      <c r="A62" s="91"/>
      <c r="B62" s="91"/>
      <c r="C62" s="91"/>
    </row>
    <row r="63" spans="1:5" x14ac:dyDescent="0.25">
      <c r="A63" s="91"/>
      <c r="B63" s="91"/>
      <c r="C63" s="91"/>
    </row>
    <row r="64" spans="1:5" x14ac:dyDescent="0.25">
      <c r="A64" s="91"/>
      <c r="B64" s="91"/>
      <c r="C64" s="91"/>
    </row>
    <row r="65" spans="1:13" x14ac:dyDescent="0.25">
      <c r="A65" s="91"/>
      <c r="B65" s="91"/>
      <c r="C65" s="91"/>
    </row>
    <row r="66" spans="1:13" x14ac:dyDescent="0.25">
      <c r="A66" s="91"/>
      <c r="B66" s="91"/>
      <c r="C66" s="91"/>
    </row>
    <row r="67" spans="1:13" x14ac:dyDescent="0.25">
      <c r="A67" s="91"/>
      <c r="B67" s="91"/>
      <c r="C67" s="91"/>
    </row>
    <row r="68" spans="1:13" x14ac:dyDescent="0.25">
      <c r="A68" s="91"/>
      <c r="B68" s="91"/>
      <c r="C68" s="91"/>
    </row>
    <row r="69" spans="1:13" x14ac:dyDescent="0.25">
      <c r="A69" s="91"/>
      <c r="B69" s="91"/>
      <c r="C69" s="91"/>
    </row>
    <row r="70" spans="1:13" ht="125.25" customHeight="1" x14ac:dyDescent="0.25">
      <c r="A70" s="91"/>
      <c r="B70" s="91"/>
      <c r="C70" s="91"/>
    </row>
    <row r="72" spans="1:13" ht="19.5" thickBot="1" x14ac:dyDescent="0.35">
      <c r="F72" s="56" t="s">
        <v>72</v>
      </c>
      <c r="G72" s="56" t="s">
        <v>74</v>
      </c>
      <c r="I72" s="93" t="s">
        <v>75</v>
      </c>
      <c r="J72" s="93"/>
      <c r="K72" s="93"/>
      <c r="L72" s="93"/>
      <c r="M72" s="93"/>
    </row>
    <row r="73" spans="1:13" ht="16.5" thickBot="1" x14ac:dyDescent="0.3">
      <c r="A73" s="57" t="s">
        <v>62</v>
      </c>
      <c r="B73" s="58"/>
      <c r="C73" s="59"/>
    </row>
    <row r="74" spans="1:13" x14ac:dyDescent="0.25">
      <c r="A74" s="60"/>
      <c r="B74" s="61"/>
      <c r="C74" s="62"/>
    </row>
    <row r="75" spans="1:13" x14ac:dyDescent="0.25">
      <c r="A75" s="77" t="s">
        <v>89</v>
      </c>
      <c r="B75" s="78"/>
      <c r="C75" s="79">
        <v>75000000</v>
      </c>
    </row>
    <row r="76" spans="1:13" x14ac:dyDescent="0.25">
      <c r="A76" s="77" t="s">
        <v>63</v>
      </c>
      <c r="B76" s="78"/>
      <c r="C76" s="79">
        <v>33000000</v>
      </c>
    </row>
    <row r="77" spans="1:13" x14ac:dyDescent="0.25">
      <c r="A77" s="77" t="s">
        <v>70</v>
      </c>
      <c r="B77" s="78"/>
      <c r="C77" s="85">
        <f>C76/C75</f>
        <v>0.44</v>
      </c>
    </row>
    <row r="78" spans="1:13" x14ac:dyDescent="0.25">
      <c r="A78" s="77" t="s">
        <v>55</v>
      </c>
      <c r="B78" s="78"/>
      <c r="C78" s="80">
        <v>7</v>
      </c>
    </row>
    <row r="79" spans="1:13" x14ac:dyDescent="0.25">
      <c r="A79" s="63"/>
      <c r="C79" s="64"/>
    </row>
    <row r="80" spans="1:13" x14ac:dyDescent="0.25">
      <c r="A80" s="53" t="s">
        <v>60</v>
      </c>
      <c r="B80" s="54"/>
      <c r="C80" s="65">
        <v>0.1</v>
      </c>
    </row>
    <row r="81" spans="1:5" x14ac:dyDescent="0.25">
      <c r="A81" s="53" t="s">
        <v>51</v>
      </c>
      <c r="B81" s="54"/>
      <c r="C81" s="39">
        <f>COUNTIF('Stress Testing Calculations'!41:41,"&gt;0.9")</f>
        <v>0</v>
      </c>
    </row>
    <row r="82" spans="1:5" x14ac:dyDescent="0.25">
      <c r="A82" s="53" t="s">
        <v>71</v>
      </c>
      <c r="B82" s="54"/>
      <c r="C82" s="40">
        <f>C81/C78</f>
        <v>0</v>
      </c>
      <c r="E82" s="45">
        <f>1-C82</f>
        <v>1</v>
      </c>
    </row>
    <row r="83" spans="1:5" x14ac:dyDescent="0.25">
      <c r="A83" s="50"/>
      <c r="C83" s="51"/>
      <c r="E83" s="45"/>
    </row>
    <row r="84" spans="1:5" x14ac:dyDescent="0.25">
      <c r="A84" s="53" t="s">
        <v>61</v>
      </c>
      <c r="B84" s="54"/>
      <c r="C84" s="55">
        <v>0.1</v>
      </c>
    </row>
    <row r="85" spans="1:5" x14ac:dyDescent="0.25">
      <c r="A85" s="53" t="s">
        <v>56</v>
      </c>
      <c r="B85" s="54"/>
      <c r="C85" s="39">
        <f>COUNTIF('Stress Testing Calculations'!38:38,"&lt;1.0")</f>
        <v>5</v>
      </c>
    </row>
    <row r="86" spans="1:5" x14ac:dyDescent="0.25">
      <c r="A86" s="53" t="s">
        <v>57</v>
      </c>
      <c r="B86" s="54"/>
      <c r="C86" s="40">
        <f>C85/C78</f>
        <v>0.7142857142857143</v>
      </c>
      <c r="E86" s="45">
        <f>1-C86</f>
        <v>0.2857142857142857</v>
      </c>
    </row>
    <row r="87" spans="1:5" x14ac:dyDescent="0.25">
      <c r="A87" s="50"/>
      <c r="C87" s="51"/>
    </row>
    <row r="88" spans="1:5" x14ac:dyDescent="0.25">
      <c r="A88" s="48" t="s">
        <v>54</v>
      </c>
      <c r="B88" s="49"/>
      <c r="C88" s="52">
        <v>0.04</v>
      </c>
    </row>
    <row r="89" spans="1:5" x14ac:dyDescent="0.25">
      <c r="A89" s="48" t="s">
        <v>56</v>
      </c>
      <c r="B89" s="49"/>
      <c r="C89" s="41">
        <f>COUNTIF('Stress Testing Calculations'!39:39,"&lt;1.0")</f>
        <v>6</v>
      </c>
    </row>
    <row r="90" spans="1:5" ht="15.75" thickBot="1" x14ac:dyDescent="0.3">
      <c r="A90" s="46" t="s">
        <v>57</v>
      </c>
      <c r="B90" s="47"/>
      <c r="C90" s="42">
        <f>C89/C78</f>
        <v>0.8571428571428571</v>
      </c>
      <c r="E90" s="45">
        <f>1-C90</f>
        <v>0.1428571428571429</v>
      </c>
    </row>
    <row r="92" spans="1:5" x14ac:dyDescent="0.25">
      <c r="A92" s="43"/>
    </row>
    <row r="93" spans="1:5" x14ac:dyDescent="0.25">
      <c r="A93" s="91"/>
      <c r="B93" s="91"/>
      <c r="C93" s="91"/>
    </row>
    <row r="94" spans="1:5" x14ac:dyDescent="0.25">
      <c r="A94" s="91"/>
      <c r="B94" s="91"/>
      <c r="C94" s="91"/>
    </row>
    <row r="95" spans="1:5" x14ac:dyDescent="0.25">
      <c r="A95" s="91"/>
      <c r="B95" s="91"/>
      <c r="C95" s="91"/>
    </row>
    <row r="96" spans="1:5" x14ac:dyDescent="0.25">
      <c r="A96" s="91"/>
      <c r="B96" s="91"/>
      <c r="C96" s="91"/>
    </row>
    <row r="97" spans="1:13" x14ac:dyDescent="0.25">
      <c r="A97" s="91"/>
      <c r="B97" s="91"/>
      <c r="C97" s="91"/>
    </row>
    <row r="98" spans="1:13" x14ac:dyDescent="0.25">
      <c r="A98" s="91"/>
      <c r="B98" s="91"/>
      <c r="C98" s="91"/>
    </row>
    <row r="99" spans="1:13" x14ac:dyDescent="0.25">
      <c r="A99" s="91"/>
      <c r="B99" s="91"/>
      <c r="C99" s="91"/>
    </row>
    <row r="100" spans="1:13" x14ac:dyDescent="0.25">
      <c r="A100" s="91"/>
      <c r="B100" s="91"/>
      <c r="C100" s="91"/>
    </row>
    <row r="101" spans="1:13" x14ac:dyDescent="0.25">
      <c r="A101" s="91"/>
      <c r="B101" s="91"/>
      <c r="C101" s="91"/>
    </row>
    <row r="102" spans="1:13" ht="93" customHeight="1" x14ac:dyDescent="0.25">
      <c r="A102" s="91"/>
      <c r="B102" s="91"/>
      <c r="C102" s="91"/>
    </row>
    <row r="104" spans="1:13" ht="19.5" thickBot="1" x14ac:dyDescent="0.35">
      <c r="F104" s="56" t="s">
        <v>72</v>
      </c>
      <c r="G104" s="56" t="s">
        <v>74</v>
      </c>
      <c r="I104" s="93" t="s">
        <v>75</v>
      </c>
      <c r="J104" s="93"/>
      <c r="K104" s="93"/>
      <c r="L104" s="93"/>
      <c r="M104" s="93"/>
    </row>
    <row r="105" spans="1:13" ht="16.5" thickBot="1" x14ac:dyDescent="0.3">
      <c r="A105" s="57" t="s">
        <v>66</v>
      </c>
      <c r="B105" s="58"/>
      <c r="C105" s="59"/>
    </row>
    <row r="106" spans="1:13" x14ac:dyDescent="0.25">
      <c r="A106" s="60"/>
      <c r="B106" s="61"/>
      <c r="C106" s="62"/>
    </row>
    <row r="107" spans="1:13" x14ac:dyDescent="0.25">
      <c r="A107" s="77" t="s">
        <v>90</v>
      </c>
      <c r="B107" s="78"/>
      <c r="C107" s="79">
        <v>37000000</v>
      </c>
    </row>
    <row r="108" spans="1:13" x14ac:dyDescent="0.25">
      <c r="A108" s="77" t="s">
        <v>67</v>
      </c>
      <c r="B108" s="78"/>
      <c r="C108" s="79">
        <v>17000000</v>
      </c>
    </row>
    <row r="109" spans="1:13" x14ac:dyDescent="0.25">
      <c r="A109" s="77" t="s">
        <v>70</v>
      </c>
      <c r="B109" s="78"/>
      <c r="C109" s="85">
        <f>C108/C107</f>
        <v>0.45945945945945948</v>
      </c>
    </row>
    <row r="110" spans="1:13" x14ac:dyDescent="0.25">
      <c r="A110" s="77" t="s">
        <v>55</v>
      </c>
      <c r="B110" s="78"/>
      <c r="C110" s="80">
        <v>6</v>
      </c>
    </row>
    <row r="111" spans="1:13" x14ac:dyDescent="0.25">
      <c r="A111" s="63"/>
      <c r="C111" s="64"/>
    </row>
    <row r="112" spans="1:13" x14ac:dyDescent="0.25">
      <c r="A112" s="53" t="s">
        <v>60</v>
      </c>
      <c r="B112" s="54"/>
      <c r="C112" s="65">
        <v>0.1</v>
      </c>
    </row>
    <row r="113" spans="1:5" x14ac:dyDescent="0.25">
      <c r="A113" s="53" t="s">
        <v>51</v>
      </c>
      <c r="B113" s="54"/>
      <c r="C113" s="39">
        <f>COUNTIF('Stress Testing Calculations'!55:55,"&gt;0.9")</f>
        <v>1</v>
      </c>
    </row>
    <row r="114" spans="1:5" x14ac:dyDescent="0.25">
      <c r="A114" s="53" t="s">
        <v>71</v>
      </c>
      <c r="B114" s="54"/>
      <c r="C114" s="40">
        <f>C113/C110</f>
        <v>0.16666666666666666</v>
      </c>
      <c r="E114" s="45">
        <f>1-C114</f>
        <v>0.83333333333333337</v>
      </c>
    </row>
    <row r="115" spans="1:5" x14ac:dyDescent="0.25">
      <c r="A115" s="50"/>
      <c r="C115" s="51"/>
      <c r="E115" s="45"/>
    </row>
    <row r="116" spans="1:5" x14ac:dyDescent="0.25">
      <c r="A116" s="53" t="s">
        <v>61</v>
      </c>
      <c r="B116" s="54"/>
      <c r="C116" s="55">
        <v>0.1</v>
      </c>
    </row>
    <row r="117" spans="1:5" x14ac:dyDescent="0.25">
      <c r="A117" s="53" t="s">
        <v>56</v>
      </c>
      <c r="B117" s="54"/>
      <c r="C117" s="39">
        <f>COUNTIF('Stress Testing Calculations'!52:52,"&lt;1.0")</f>
        <v>3</v>
      </c>
    </row>
    <row r="118" spans="1:5" x14ac:dyDescent="0.25">
      <c r="A118" s="53" t="s">
        <v>57</v>
      </c>
      <c r="B118" s="54"/>
      <c r="C118" s="40">
        <f>C117/C110</f>
        <v>0.5</v>
      </c>
      <c r="E118" s="45">
        <f>1-C118</f>
        <v>0.5</v>
      </c>
    </row>
    <row r="119" spans="1:5" x14ac:dyDescent="0.25">
      <c r="A119" s="50"/>
      <c r="C119" s="51"/>
    </row>
    <row r="120" spans="1:5" x14ac:dyDescent="0.25">
      <c r="A120" s="48" t="s">
        <v>54</v>
      </c>
      <c r="B120" s="49"/>
      <c r="C120" s="52">
        <v>0.04</v>
      </c>
    </row>
    <row r="121" spans="1:5" x14ac:dyDescent="0.25">
      <c r="A121" s="48" t="s">
        <v>56</v>
      </c>
      <c r="B121" s="49"/>
      <c r="C121" s="41">
        <f>COUNTIF('Stress Testing Calculations'!53:53,"&lt;1.0")</f>
        <v>6</v>
      </c>
    </row>
    <row r="122" spans="1:5" ht="15.75" thickBot="1" x14ac:dyDescent="0.3">
      <c r="A122" s="46" t="s">
        <v>57</v>
      </c>
      <c r="B122" s="47"/>
      <c r="C122" s="42">
        <f>C121/C110</f>
        <v>1</v>
      </c>
      <c r="E122" s="45">
        <f>1-C122</f>
        <v>0</v>
      </c>
    </row>
    <row r="124" spans="1:5" x14ac:dyDescent="0.25">
      <c r="A124" s="43"/>
    </row>
    <row r="125" spans="1:5" x14ac:dyDescent="0.25">
      <c r="A125" s="91"/>
      <c r="B125" s="91"/>
      <c r="C125" s="91"/>
    </row>
    <row r="126" spans="1:5" x14ac:dyDescent="0.25">
      <c r="A126" s="91"/>
      <c r="B126" s="91"/>
      <c r="C126" s="91"/>
    </row>
    <row r="127" spans="1:5" x14ac:dyDescent="0.25">
      <c r="A127" s="91"/>
      <c r="B127" s="91"/>
      <c r="C127" s="91"/>
    </row>
    <row r="128" spans="1:5" x14ac:dyDescent="0.25">
      <c r="A128" s="91"/>
      <c r="B128" s="91"/>
      <c r="C128" s="91"/>
    </row>
    <row r="129" spans="1:13" x14ac:dyDescent="0.25">
      <c r="A129" s="91"/>
      <c r="B129" s="91"/>
      <c r="C129" s="91"/>
    </row>
    <row r="130" spans="1:13" x14ac:dyDescent="0.25">
      <c r="A130" s="91"/>
      <c r="B130" s="91"/>
      <c r="C130" s="91"/>
    </row>
    <row r="131" spans="1:13" x14ac:dyDescent="0.25">
      <c r="A131" s="91"/>
      <c r="B131" s="91"/>
      <c r="C131" s="91"/>
    </row>
    <row r="132" spans="1:13" x14ac:dyDescent="0.25">
      <c r="A132" s="91"/>
      <c r="B132" s="91"/>
      <c r="C132" s="91"/>
    </row>
    <row r="133" spans="1:13" x14ac:dyDescent="0.25">
      <c r="A133" s="91"/>
      <c r="B133" s="91"/>
      <c r="C133" s="91"/>
    </row>
    <row r="134" spans="1:13" ht="52.5" customHeight="1" x14ac:dyDescent="0.25">
      <c r="A134" s="91"/>
      <c r="B134" s="91"/>
      <c r="C134" s="91"/>
    </row>
    <row r="135" spans="1:13" ht="14.25" customHeight="1" x14ac:dyDescent="0.25"/>
    <row r="136" spans="1:13" ht="19.5" thickBot="1" x14ac:dyDescent="0.35">
      <c r="F136" s="56" t="s">
        <v>72</v>
      </c>
      <c r="G136" s="56" t="s">
        <v>74</v>
      </c>
      <c r="I136" s="93" t="s">
        <v>75</v>
      </c>
      <c r="J136" s="93"/>
      <c r="K136" s="93"/>
      <c r="L136" s="93"/>
      <c r="M136" s="93"/>
    </row>
    <row r="137" spans="1:13" ht="16.5" thickBot="1" x14ac:dyDescent="0.3">
      <c r="A137" s="57" t="s">
        <v>68</v>
      </c>
      <c r="B137" s="58"/>
      <c r="C137" s="59"/>
    </row>
    <row r="138" spans="1:13" x14ac:dyDescent="0.25">
      <c r="A138" s="60"/>
      <c r="B138" s="61"/>
      <c r="C138" s="62"/>
    </row>
    <row r="139" spans="1:13" x14ac:dyDescent="0.25">
      <c r="A139" s="77" t="s">
        <v>91</v>
      </c>
      <c r="B139" s="78"/>
      <c r="C139" s="79">
        <v>45000000</v>
      </c>
    </row>
    <row r="140" spans="1:13" x14ac:dyDescent="0.25">
      <c r="A140" s="77" t="s">
        <v>69</v>
      </c>
      <c r="B140" s="78"/>
      <c r="C140" s="79">
        <v>13000000</v>
      </c>
    </row>
    <row r="141" spans="1:13" x14ac:dyDescent="0.25">
      <c r="A141" s="77" t="s">
        <v>70</v>
      </c>
      <c r="B141" s="78"/>
      <c r="C141" s="85">
        <f>C140/C139</f>
        <v>0.28888888888888886</v>
      </c>
    </row>
    <row r="142" spans="1:13" x14ac:dyDescent="0.25">
      <c r="A142" s="77" t="s">
        <v>55</v>
      </c>
      <c r="B142" s="78"/>
      <c r="C142" s="80">
        <v>6</v>
      </c>
    </row>
    <row r="143" spans="1:13" x14ac:dyDescent="0.25">
      <c r="A143" s="63"/>
      <c r="C143" s="64"/>
    </row>
    <row r="144" spans="1:13" x14ac:dyDescent="0.25">
      <c r="A144" s="53" t="s">
        <v>60</v>
      </c>
      <c r="B144" s="54"/>
      <c r="C144" s="65">
        <v>0.1</v>
      </c>
    </row>
    <row r="145" spans="1:5" x14ac:dyDescent="0.25">
      <c r="A145" s="53" t="s">
        <v>51</v>
      </c>
      <c r="B145" s="54"/>
      <c r="C145" s="39">
        <f>COUNTIF('Stress Testing Calculations'!69:69,"&gt;0.9")</f>
        <v>1</v>
      </c>
    </row>
    <row r="146" spans="1:5" x14ac:dyDescent="0.25">
      <c r="A146" s="53" t="s">
        <v>71</v>
      </c>
      <c r="B146" s="54"/>
      <c r="C146" s="40">
        <f>C145/C142</f>
        <v>0.16666666666666666</v>
      </c>
      <c r="E146" s="45">
        <f>1-C146</f>
        <v>0.83333333333333337</v>
      </c>
    </row>
    <row r="147" spans="1:5" x14ac:dyDescent="0.25">
      <c r="A147" s="50"/>
      <c r="C147" s="51"/>
      <c r="E147" s="45"/>
    </row>
    <row r="148" spans="1:5" x14ac:dyDescent="0.25">
      <c r="A148" s="53" t="s">
        <v>61</v>
      </c>
      <c r="B148" s="54"/>
      <c r="C148" s="55">
        <v>0.1</v>
      </c>
    </row>
    <row r="149" spans="1:5" x14ac:dyDescent="0.25">
      <c r="A149" s="53" t="s">
        <v>56</v>
      </c>
      <c r="B149" s="54"/>
      <c r="C149" s="39">
        <f>COUNTIF('Stress Testing Calculations'!66:66,"&lt;1.0")</f>
        <v>4</v>
      </c>
    </row>
    <row r="150" spans="1:5" x14ac:dyDescent="0.25">
      <c r="A150" s="53" t="s">
        <v>57</v>
      </c>
      <c r="B150" s="54"/>
      <c r="C150" s="40">
        <f>C149/C142</f>
        <v>0.66666666666666663</v>
      </c>
      <c r="E150" s="45">
        <f>1-C150</f>
        <v>0.33333333333333337</v>
      </c>
    </row>
    <row r="151" spans="1:5" x14ac:dyDescent="0.25">
      <c r="A151" s="50"/>
      <c r="C151" s="51"/>
    </row>
    <row r="152" spans="1:5" x14ac:dyDescent="0.25">
      <c r="A152" s="48" t="s">
        <v>54</v>
      </c>
      <c r="B152" s="49"/>
      <c r="C152" s="52">
        <v>0.04</v>
      </c>
    </row>
    <row r="153" spans="1:5" x14ac:dyDescent="0.25">
      <c r="A153" s="48" t="s">
        <v>56</v>
      </c>
      <c r="B153" s="49"/>
      <c r="C153" s="41">
        <f>COUNTIF('Stress Testing Calculations'!67:67,"&lt;1.0")</f>
        <v>5</v>
      </c>
    </row>
    <row r="154" spans="1:5" ht="15.75" thickBot="1" x14ac:dyDescent="0.3">
      <c r="A154" s="46" t="s">
        <v>57</v>
      </c>
      <c r="B154" s="47"/>
      <c r="C154" s="42">
        <f>C153/C142</f>
        <v>0.83333333333333337</v>
      </c>
      <c r="E154" s="45">
        <f>1-C154</f>
        <v>0.16666666666666663</v>
      </c>
    </row>
    <row r="156" spans="1:5" x14ac:dyDescent="0.25">
      <c r="A156" s="43"/>
    </row>
    <row r="157" spans="1:5" x14ac:dyDescent="0.25">
      <c r="A157" s="91"/>
      <c r="B157" s="91"/>
      <c r="C157" s="91"/>
    </row>
    <row r="158" spans="1:5" x14ac:dyDescent="0.25">
      <c r="A158" s="91"/>
      <c r="B158" s="91"/>
      <c r="C158" s="91"/>
    </row>
    <row r="159" spans="1:5" x14ac:dyDescent="0.25">
      <c r="A159" s="91"/>
      <c r="B159" s="91"/>
      <c r="C159" s="91"/>
    </row>
    <row r="160" spans="1:5" x14ac:dyDescent="0.25">
      <c r="A160" s="91"/>
      <c r="B160" s="91"/>
      <c r="C160" s="91"/>
    </row>
    <row r="161" spans="1:13" x14ac:dyDescent="0.25">
      <c r="A161" s="91"/>
      <c r="B161" s="91"/>
      <c r="C161" s="91"/>
    </row>
    <row r="162" spans="1:13" x14ac:dyDescent="0.25">
      <c r="A162" s="91"/>
      <c r="B162" s="91"/>
      <c r="C162" s="91"/>
    </row>
    <row r="163" spans="1:13" x14ac:dyDescent="0.25">
      <c r="A163" s="91"/>
      <c r="B163" s="91"/>
      <c r="C163" s="91"/>
    </row>
    <row r="164" spans="1:13" x14ac:dyDescent="0.25">
      <c r="A164" s="91"/>
      <c r="B164" s="91"/>
      <c r="C164" s="91"/>
    </row>
    <row r="165" spans="1:13" x14ac:dyDescent="0.25">
      <c r="A165" s="91"/>
      <c r="B165" s="91"/>
      <c r="C165" s="91"/>
    </row>
    <row r="166" spans="1:13" ht="76.5" customHeight="1" x14ac:dyDescent="0.25">
      <c r="A166" s="91"/>
      <c r="B166" s="91"/>
      <c r="C166" s="91"/>
    </row>
    <row r="168" spans="1:13" ht="19.5" thickBot="1" x14ac:dyDescent="0.35">
      <c r="F168" s="56" t="s">
        <v>74</v>
      </c>
      <c r="G168" s="56" t="s">
        <v>74</v>
      </c>
      <c r="I168" s="93" t="s">
        <v>75</v>
      </c>
      <c r="J168" s="93"/>
      <c r="K168" s="93"/>
      <c r="L168" s="93"/>
      <c r="M168" s="93"/>
    </row>
    <row r="169" spans="1:13" ht="16.5" thickBot="1" x14ac:dyDescent="0.3">
      <c r="A169" s="57" t="s">
        <v>64</v>
      </c>
      <c r="B169" s="58"/>
      <c r="C169" s="59"/>
    </row>
    <row r="170" spans="1:13" x14ac:dyDescent="0.25">
      <c r="A170" s="60"/>
      <c r="B170" s="61"/>
      <c r="C170" s="62"/>
    </row>
    <row r="171" spans="1:13" x14ac:dyDescent="0.25">
      <c r="A171" s="77" t="s">
        <v>55</v>
      </c>
      <c r="B171" s="78"/>
      <c r="C171" s="80">
        <v>20</v>
      </c>
    </row>
    <row r="172" spans="1:13" x14ac:dyDescent="0.25">
      <c r="A172" s="63"/>
      <c r="C172" s="64"/>
    </row>
    <row r="173" spans="1:13" x14ac:dyDescent="0.25">
      <c r="A173" s="53" t="s">
        <v>61</v>
      </c>
      <c r="B173" s="54"/>
      <c r="C173" s="65">
        <v>0.2</v>
      </c>
    </row>
    <row r="174" spans="1:13" x14ac:dyDescent="0.25">
      <c r="A174" s="53" t="s">
        <v>56</v>
      </c>
      <c r="B174" s="54"/>
      <c r="C174" s="39">
        <f>COUNTIF('Stress Testing Calculations'!84:84,"&lt;1.0")</f>
        <v>17</v>
      </c>
    </row>
    <row r="175" spans="1:13" x14ac:dyDescent="0.25">
      <c r="A175" s="53" t="s">
        <v>57</v>
      </c>
      <c r="B175" s="54"/>
      <c r="C175" s="40">
        <f>C174/C171</f>
        <v>0.85</v>
      </c>
      <c r="E175" s="45">
        <f>1-C175</f>
        <v>0.15000000000000002</v>
      </c>
    </row>
    <row r="176" spans="1:13" x14ac:dyDescent="0.25">
      <c r="A176" s="50"/>
      <c r="C176" s="51"/>
      <c r="E176" s="45"/>
    </row>
    <row r="177" spans="1:5" x14ac:dyDescent="0.25">
      <c r="A177" s="53" t="s">
        <v>65</v>
      </c>
      <c r="B177" s="54"/>
      <c r="C177" s="55">
        <v>0.2</v>
      </c>
    </row>
    <row r="178" spans="1:5" x14ac:dyDescent="0.25">
      <c r="A178" s="53" t="s">
        <v>56</v>
      </c>
      <c r="B178" s="54"/>
      <c r="C178" s="39">
        <f>COUNTIF('Stress Testing Calculations'!85:85,"&lt;1.0")</f>
        <v>15</v>
      </c>
    </row>
    <row r="179" spans="1:5" x14ac:dyDescent="0.25">
      <c r="A179" s="53" t="s">
        <v>57</v>
      </c>
      <c r="B179" s="54"/>
      <c r="C179" s="40">
        <f>C178/C171</f>
        <v>0.75</v>
      </c>
      <c r="E179" s="45">
        <f>1-C179</f>
        <v>0.25</v>
      </c>
    </row>
    <row r="180" spans="1:5" x14ac:dyDescent="0.25">
      <c r="A180" s="50"/>
      <c r="C180" s="51"/>
    </row>
    <row r="181" spans="1:5" x14ac:dyDescent="0.25">
      <c r="A181" s="48" t="s">
        <v>54</v>
      </c>
      <c r="B181" s="49"/>
      <c r="C181" s="52">
        <v>0.05</v>
      </c>
    </row>
    <row r="182" spans="1:5" x14ac:dyDescent="0.25">
      <c r="A182" s="48" t="s">
        <v>56</v>
      </c>
      <c r="B182" s="49"/>
      <c r="C182" s="41">
        <f>COUNTIF('Stress Testing Calculations'!86:86,"&lt;1.0")</f>
        <v>7</v>
      </c>
    </row>
    <row r="183" spans="1:5" ht="15.75" thickBot="1" x14ac:dyDescent="0.3">
      <c r="A183" s="46" t="s">
        <v>57</v>
      </c>
      <c r="B183" s="47"/>
      <c r="C183" s="42">
        <f>C182/C171</f>
        <v>0.35</v>
      </c>
      <c r="E183" s="45">
        <f>1-C183</f>
        <v>0.65</v>
      </c>
    </row>
    <row r="185" spans="1:5" x14ac:dyDescent="0.25">
      <c r="A185" s="43"/>
    </row>
    <row r="186" spans="1:5" x14ac:dyDescent="0.25">
      <c r="A186" s="91"/>
      <c r="B186" s="91"/>
      <c r="C186" s="91"/>
    </row>
    <row r="187" spans="1:5" x14ac:dyDescent="0.25">
      <c r="A187" s="91"/>
      <c r="B187" s="91"/>
      <c r="C187" s="91"/>
    </row>
    <row r="188" spans="1:5" x14ac:dyDescent="0.25">
      <c r="A188" s="91"/>
      <c r="B188" s="91"/>
      <c r="C188" s="91"/>
    </row>
    <row r="189" spans="1:5" x14ac:dyDescent="0.25">
      <c r="A189" s="91"/>
      <c r="B189" s="91"/>
      <c r="C189" s="91"/>
    </row>
    <row r="190" spans="1:5" x14ac:dyDescent="0.25">
      <c r="A190" s="91"/>
      <c r="B190" s="91"/>
      <c r="C190" s="91"/>
    </row>
    <row r="191" spans="1:5" x14ac:dyDescent="0.25">
      <c r="A191" s="91"/>
      <c r="B191" s="91"/>
      <c r="C191" s="91"/>
    </row>
    <row r="192" spans="1:5" x14ac:dyDescent="0.25">
      <c r="A192" s="91"/>
      <c r="B192" s="91"/>
      <c r="C192" s="91"/>
    </row>
    <row r="193" spans="1:3" x14ac:dyDescent="0.25">
      <c r="A193" s="91"/>
      <c r="B193" s="91"/>
      <c r="C193" s="91"/>
    </row>
    <row r="194" spans="1:3" x14ac:dyDescent="0.25">
      <c r="A194" s="91"/>
      <c r="B194" s="91"/>
      <c r="C194" s="91"/>
    </row>
    <row r="195" spans="1:3" ht="77.25" customHeight="1" x14ac:dyDescent="0.25">
      <c r="A195" s="91"/>
      <c r="B195" s="91"/>
      <c r="C195" s="91"/>
    </row>
    <row r="198" spans="1:3" ht="26.25" customHeight="1" x14ac:dyDescent="0.25"/>
  </sheetData>
  <mergeCells count="13">
    <mergeCell ref="A1:I2"/>
    <mergeCell ref="A186:C195"/>
    <mergeCell ref="A29:C38"/>
    <mergeCell ref="A61:C70"/>
    <mergeCell ref="A93:C102"/>
    <mergeCell ref="A125:C134"/>
    <mergeCell ref="A157:C166"/>
    <mergeCell ref="I8:M8"/>
    <mergeCell ref="I40:M40"/>
    <mergeCell ref="I72:M72"/>
    <mergeCell ref="I104:M104"/>
    <mergeCell ref="I136:M136"/>
    <mergeCell ref="I168:M168"/>
  </mergeCells>
  <dataValidations count="1">
    <dataValidation type="decimal" allowBlank="1" showInputMessage="1" showErrorMessage="1" sqref="C181 C24 C56 C88 C120 C152" xr:uid="{D8DE821A-AE05-45BB-8F93-ED250C3F95CA}">
      <formula1>0</formula1>
      <formula2>0.05</formula2>
    </dataValidation>
  </dataValidations>
  <pageMargins left="0.7" right="0.7" top="0.75" bottom="0.75" header="0.3" footer="0.3"/>
  <pageSetup paperSize="5" scale="57" fitToHeight="0" orientation="landscape" r:id="rId1"/>
  <rowBreaks count="5" manualBreakCount="5">
    <brk id="38" max="13" man="1"/>
    <brk id="70" max="13" man="1"/>
    <brk id="102" max="13" man="1"/>
    <brk id="134" max="13" man="1"/>
    <brk id="166"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A781-B952-4BC7-9051-EE160A065A56}">
  <dimension ref="A1:AA86"/>
  <sheetViews>
    <sheetView tabSelected="1" workbookViewId="0">
      <selection activeCell="B20" sqref="B20"/>
    </sheetView>
  </sheetViews>
  <sheetFormatPr defaultRowHeight="15" x14ac:dyDescent="0.25"/>
  <cols>
    <col min="1" max="1" width="41.7109375" bestFit="1" customWidth="1"/>
    <col min="2" max="2" width="21.85546875" customWidth="1"/>
    <col min="3" max="3" width="18.5703125" customWidth="1"/>
    <col min="4" max="4" width="22.42578125" customWidth="1"/>
    <col min="5" max="7" width="20.42578125" customWidth="1"/>
    <col min="8" max="8" width="21.42578125" customWidth="1"/>
    <col min="9" max="16" width="20.42578125" customWidth="1"/>
    <col min="17" max="21" width="17.85546875" customWidth="1"/>
    <col min="22" max="27" width="19.28515625" customWidth="1"/>
  </cols>
  <sheetData>
    <row r="1" spans="1:16" ht="45.75" customHeight="1" thickBot="1" x14ac:dyDescent="0.3">
      <c r="A1" s="11" t="s">
        <v>39</v>
      </c>
      <c r="D1" s="94" t="s">
        <v>81</v>
      </c>
      <c r="E1" s="94"/>
      <c r="F1" s="94"/>
      <c r="G1" s="94"/>
      <c r="H1" s="94"/>
      <c r="I1" s="94"/>
      <c r="J1" s="94"/>
    </row>
    <row r="2" spans="1:16" x14ac:dyDescent="0.25">
      <c r="A2" s="13" t="s">
        <v>17</v>
      </c>
      <c r="B2" s="16">
        <f>Summary!C20</f>
        <v>0.1</v>
      </c>
      <c r="D2" s="81"/>
      <c r="E2" s="81"/>
      <c r="F2" s="81"/>
      <c r="G2" s="81"/>
      <c r="H2" s="81"/>
      <c r="I2" s="81"/>
      <c r="J2" s="81"/>
    </row>
    <row r="3" spans="1:16" x14ac:dyDescent="0.25">
      <c r="A3" s="14" t="s">
        <v>94</v>
      </c>
      <c r="B3" s="17">
        <f>Summary!C24</f>
        <v>0.04</v>
      </c>
      <c r="D3">
        <f>IF(B3=0.01,0.2,IF(B3=0.02,0.4,IF(B3=0.03,0.6,IF(B3=0.04,0.8,IF(B3=0.05,1)))))</f>
        <v>0.8</v>
      </c>
    </row>
    <row r="4" spans="1:16" ht="15.75" thickBot="1" x14ac:dyDescent="0.3">
      <c r="A4" s="15" t="s">
        <v>20</v>
      </c>
      <c r="B4" s="18">
        <f>Summary!C16</f>
        <v>0.1</v>
      </c>
    </row>
    <row r="5" spans="1:16" ht="15.75" thickBot="1" x14ac:dyDescent="0.3">
      <c r="A5" s="11"/>
    </row>
    <row r="6" spans="1:16" x14ac:dyDescent="0.25">
      <c r="A6" s="24" t="s">
        <v>22</v>
      </c>
      <c r="B6" s="26" t="str">
        <f>'Hotel data'!C2</f>
        <v>John Doe</v>
      </c>
      <c r="C6" s="26">
        <f>'Hotel data'!D2</f>
        <v>0</v>
      </c>
      <c r="D6" s="26">
        <f>'Hotel data'!E2</f>
        <v>0</v>
      </c>
      <c r="E6" s="26">
        <f>'Hotel data'!F2</f>
        <v>0</v>
      </c>
      <c r="F6" s="26">
        <f>'Hotel data'!G2</f>
        <v>0</v>
      </c>
      <c r="G6" s="26">
        <f>'Hotel data'!H2</f>
        <v>0</v>
      </c>
      <c r="H6" s="26">
        <f>'Hotel data'!I2</f>
        <v>0</v>
      </c>
      <c r="I6" s="26">
        <f>'Hotel data'!J2</f>
        <v>0</v>
      </c>
      <c r="J6" s="26">
        <f>'Hotel data'!K2</f>
        <v>0</v>
      </c>
      <c r="K6" s="26">
        <f>'Hotel data'!L2</f>
        <v>0</v>
      </c>
      <c r="L6" s="26">
        <f>'Hotel data'!M2</f>
        <v>0</v>
      </c>
      <c r="M6" s="26">
        <f>'Hotel data'!N2</f>
        <v>0</v>
      </c>
      <c r="N6" s="26">
        <f>'Hotel data'!O2</f>
        <v>0</v>
      </c>
      <c r="O6" s="26">
        <f>'Hotel data'!P2</f>
        <v>0</v>
      </c>
      <c r="P6" s="26">
        <f>'Hotel data'!Q2</f>
        <v>0</v>
      </c>
    </row>
    <row r="7" spans="1:16" ht="15.75" thickBot="1" x14ac:dyDescent="0.3">
      <c r="A7" s="25" t="s">
        <v>25</v>
      </c>
      <c r="B7" s="27" t="str">
        <f>'Hotel data'!C3</f>
        <v>Bismarck, ND</v>
      </c>
      <c r="C7" s="27">
        <f>'Hotel data'!D3</f>
        <v>0</v>
      </c>
      <c r="D7" s="27">
        <f>'Hotel data'!E3</f>
        <v>0</v>
      </c>
      <c r="E7" s="27">
        <f>'Hotel data'!F3</f>
        <v>0</v>
      </c>
      <c r="F7" s="27">
        <f>'Hotel data'!G3</f>
        <v>0</v>
      </c>
      <c r="G7" s="27">
        <f>'Hotel data'!H3</f>
        <v>0</v>
      </c>
      <c r="H7" s="27">
        <f>'Hotel data'!I3</f>
        <v>0</v>
      </c>
      <c r="I7" s="27">
        <f>'Hotel data'!J3</f>
        <v>0</v>
      </c>
      <c r="J7" s="27">
        <f>'Hotel data'!K3</f>
        <v>0</v>
      </c>
      <c r="K7" s="27">
        <f>'Hotel data'!L3</f>
        <v>0</v>
      </c>
      <c r="L7" s="27">
        <f>'Hotel data'!M3</f>
        <v>0</v>
      </c>
      <c r="M7" s="27">
        <f>'Hotel data'!N3</f>
        <v>0</v>
      </c>
      <c r="N7" s="27">
        <f>'Hotel data'!O3</f>
        <v>0</v>
      </c>
      <c r="O7" s="27">
        <f>'Hotel data'!P3</f>
        <v>0</v>
      </c>
      <c r="P7" s="27">
        <f>'Hotel data'!Q3</f>
        <v>0</v>
      </c>
    </row>
    <row r="8" spans="1:16" x14ac:dyDescent="0.25">
      <c r="A8" s="23" t="s">
        <v>16</v>
      </c>
      <c r="B8" s="28">
        <f>'Hotel data'!$C$4</f>
        <v>44926</v>
      </c>
      <c r="C8" s="28">
        <f>'Hotel data'!D4</f>
        <v>44926</v>
      </c>
      <c r="D8" s="29" t="str">
        <f>'Hotel data'!E4</f>
        <v>Projections</v>
      </c>
      <c r="E8" s="29">
        <f>'Hotel data'!F4</f>
        <v>44926</v>
      </c>
      <c r="F8" s="29">
        <f>'Hotel data'!G4</f>
        <v>44926</v>
      </c>
      <c r="G8" s="29" t="str">
        <f>'Hotel data'!H4</f>
        <v>Annualized 2022</v>
      </c>
      <c r="H8" s="29">
        <f>'Hotel data'!I4</f>
        <v>44926</v>
      </c>
      <c r="I8" s="29">
        <f>'Hotel data'!J4</f>
        <v>44926</v>
      </c>
      <c r="J8" s="29">
        <f>'Hotel data'!K4</f>
        <v>44926</v>
      </c>
      <c r="K8" s="29">
        <f>'Hotel data'!L4</f>
        <v>44926</v>
      </c>
      <c r="L8" s="29">
        <f>'Hotel data'!M4</f>
        <v>44926</v>
      </c>
      <c r="M8" s="29">
        <f>'Hotel data'!N4</f>
        <v>44926</v>
      </c>
      <c r="N8" s="29" t="str">
        <f>'Hotel data'!O4</f>
        <v>2023 projections</v>
      </c>
      <c r="O8" s="29" t="str">
        <f>'Hotel data'!P4</f>
        <v>2023 projections</v>
      </c>
      <c r="P8" s="29" t="str">
        <f>'Hotel data'!Q4</f>
        <v>2023 projections</v>
      </c>
    </row>
    <row r="9" spans="1:16" x14ac:dyDescent="0.25">
      <c r="A9" s="20" t="s">
        <v>15</v>
      </c>
      <c r="B9" s="69">
        <f>'Hotel data'!$C$14</f>
        <v>1.954235785061766</v>
      </c>
      <c r="C9" s="69">
        <f>'Hotel data'!D14</f>
        <v>1.9607102255729074</v>
      </c>
      <c r="D9" s="69">
        <f>'Hotel data'!E14</f>
        <v>0.49759229534510435</v>
      </c>
      <c r="E9" s="69">
        <f>'Hotel data'!F14</f>
        <v>1.1818483311956336</v>
      </c>
      <c r="F9" s="69">
        <f>'Hotel data'!G14</f>
        <v>1.5903118673211858</v>
      </c>
      <c r="G9" s="69">
        <f>'Hotel data'!H14</f>
        <v>1.2402890562078368</v>
      </c>
      <c r="H9" s="69">
        <f>'Hotel data'!I14</f>
        <v>1.2338020903191194</v>
      </c>
      <c r="I9" s="69">
        <f>'Hotel data'!J14</f>
        <v>1.9135321607778903</v>
      </c>
      <c r="J9" s="69">
        <f>'Hotel data'!K14</f>
        <v>6.2925170068027211E-2</v>
      </c>
      <c r="K9" s="69">
        <f>'Hotel data'!L14</f>
        <v>1.2946645942660162</v>
      </c>
      <c r="L9" s="69">
        <f>'Hotel data'!M14</f>
        <v>1.4577142716313656</v>
      </c>
      <c r="M9" s="69">
        <f>'Hotel data'!N14</f>
        <v>0.86046511627906974</v>
      </c>
      <c r="N9" s="69">
        <f>'Hotel data'!O14</f>
        <v>1.6539923954372624</v>
      </c>
      <c r="O9" s="69">
        <f>'Hotel data'!P14</f>
        <v>1.3709644253321382</v>
      </c>
      <c r="P9" s="69">
        <f>'Hotel data'!Q14</f>
        <v>1.1826447746546276</v>
      </c>
    </row>
    <row r="10" spans="1:16" x14ac:dyDescent="0.25">
      <c r="A10" s="21" t="s">
        <v>18</v>
      </c>
      <c r="B10" s="70">
        <f>((('Hotel data'!C6*(1-$B$2))-'Hotel data'!C17)+'Hotel data'!C8+'Hotel data'!C10)/'Hotel data'!C13</f>
        <v>1.5168257929784372</v>
      </c>
      <c r="C10" s="70">
        <f>((('Hotel data'!D6*(1-$B$2))-'Hotel data'!D17)+'Hotel data'!D8+'Hotel data'!D10)/'Hotel data'!D13</f>
        <v>1.5041524561718422</v>
      </c>
      <c r="D10" s="70">
        <f>((('Hotel data'!E6*(1-$B$2))-'Hotel data'!E17)+'Hotel data'!E8+'Hotel data'!E10)/'Hotel data'!E13</f>
        <v>0.22134831460674156</v>
      </c>
      <c r="E10" s="70">
        <f>((('Hotel data'!F6*(1-$B$2))-'Hotel data'!F17)+'Hotel data'!F8+'Hotel data'!F10)/'Hotel data'!F13</f>
        <v>0.87167747503686022</v>
      </c>
      <c r="F10" s="70">
        <f>((('Hotel data'!G6*(1-$B$2))-'Hotel data'!G17)+'Hotel data'!G8+'Hotel data'!G10)/'Hotel data'!G13</f>
        <v>0.75229913747677357</v>
      </c>
      <c r="G10" s="70">
        <f>((('Hotel data'!H6*(1-$B$2))-'Hotel data'!H17)+'Hotel data'!H8+'Hotel data'!H10)/'Hotel data'!H13</f>
        <v>0.84561009430778966</v>
      </c>
      <c r="H10" s="70">
        <f>((('Hotel data'!I6*(1-$B$2))-'Hotel data'!I17)+'Hotel data'!I8+'Hotel data'!I10)/'Hotel data'!I13</f>
        <v>0.73903118970729365</v>
      </c>
      <c r="I10" s="70">
        <f>((('Hotel data'!J6*(1-$B$2))-'Hotel data'!J17)+'Hotel data'!J8+'Hotel data'!J10)/'Hotel data'!J13</f>
        <v>1.5196303915451217</v>
      </c>
      <c r="J10" s="70">
        <f>((('Hotel data'!K6*(1-$B$2))-'Hotel data'!K17)+'Hotel data'!K8+'Hotel data'!K10)/'Hotel data'!K13</f>
        <v>-0.34977324263038551</v>
      </c>
      <c r="K10" s="70">
        <f>((('Hotel data'!L6*(1-$B$2))-'Hotel data'!L17)+'Hotel data'!L8+'Hotel data'!L10)/'Hotel data'!L13</f>
        <v>0.62318062202797742</v>
      </c>
      <c r="L10" s="70">
        <f>((('Hotel data'!M6*(1-$B$2))-'Hotel data'!M17)+'Hotel data'!M8+'Hotel data'!M10)/'Hotel data'!M13</f>
        <v>1.0820259689049121</v>
      </c>
      <c r="M10" s="70">
        <f>((('Hotel data'!N6*(1-$B$2))-'Hotel data'!N17)+'Hotel data'!N8+'Hotel data'!N10)/'Hotel data'!N13</f>
        <v>0.47658914728682172</v>
      </c>
      <c r="N10" s="70">
        <f>((('Hotel data'!O6*(1-$B$2))-'Hotel data'!O17)+'Hotel data'!O8+'Hotel data'!O10)/'Hotel data'!O13</f>
        <v>1.0790874524714829</v>
      </c>
      <c r="O10" s="70">
        <f>((('Hotel data'!P6*(1-$B$2))-'Hotel data'!P17)+'Hotel data'!P8+'Hotel data'!P10)/'Hotel data'!P13</f>
        <v>0.9619570769096909</v>
      </c>
      <c r="P10" s="70">
        <f>((('Hotel data'!Q6*(1-$B$2))-'Hotel data'!Q17)+'Hotel data'!Q8+'Hotel data'!Q10)/'Hotel data'!Q13</f>
        <v>0.67766793714184381</v>
      </c>
    </row>
    <row r="11" spans="1:16" ht="15.75" thickBot="1" x14ac:dyDescent="0.3">
      <c r="A11" s="22" t="s">
        <v>19</v>
      </c>
      <c r="B11" s="71">
        <f>('Hotel data'!C9+'Hotel data'!C10)/(('Hotel data'!C10*$D$3)+'Hotel data'!C13)</f>
        <v>1.3173662887126072</v>
      </c>
      <c r="C11" s="71">
        <f>('Hotel data'!D9+'Hotel data'!D10)/(('Hotel data'!D10*$D$3)+'Hotel data'!D13)</f>
        <v>1.2862074379354331</v>
      </c>
      <c r="D11" s="71">
        <f>('Hotel data'!E9+'Hotel data'!E10)/(('Hotel data'!E10*$D$3)+'Hotel data'!E13)</f>
        <v>0.35854730511219063</v>
      </c>
      <c r="E11" s="71">
        <f>('Hotel data'!F9+'Hotel data'!F10)/(('Hotel data'!F10*$D$3)+'Hotel data'!F13)</f>
        <v>0.85439964689359382</v>
      </c>
      <c r="F11" s="71">
        <f>('Hotel data'!G9+'Hotel data'!G10)/(('Hotel data'!G10*$D$3)+'Hotel data'!G13)</f>
        <v>1.0922386732038842</v>
      </c>
      <c r="G11" s="71">
        <f>('Hotel data'!H9+'Hotel data'!H10)/(('Hotel data'!H10*$D$3)+'Hotel data'!H13)</f>
        <v>0.68904947567102037</v>
      </c>
      <c r="H11" s="71">
        <f>('Hotel data'!I9+'Hotel data'!I10)/(('Hotel data'!I10*$D$3)+'Hotel data'!I13)</f>
        <v>0.90077805829215263</v>
      </c>
      <c r="I11" s="71">
        <f>('Hotel data'!J9+'Hotel data'!J10)/(('Hotel data'!J10*$D$3)+'Hotel data'!J13)</f>
        <v>1.3408083359445022</v>
      </c>
      <c r="J11" s="71">
        <f>('Hotel data'!K9+'Hotel data'!K10)/(('Hotel data'!K10*$D$3)+'Hotel data'!K13)</f>
        <v>4.3063314711359407E-2</v>
      </c>
      <c r="K11" s="71">
        <f>('Hotel data'!L9+'Hotel data'!L10)/(('Hotel data'!L10*$D$3)+'Hotel data'!L13)</f>
        <v>0.95839190713252298</v>
      </c>
      <c r="L11" s="71">
        <f>('Hotel data'!M9+'Hotel data'!M10)/(('Hotel data'!M10*$D$3)+'Hotel data'!M13)</f>
        <v>1.0940163781085481</v>
      </c>
      <c r="M11" s="71">
        <f>('Hotel data'!N9+'Hotel data'!N10)/(('Hotel data'!N10*$D$3)+'Hotel data'!N13)</f>
        <v>0.63159705973929492</v>
      </c>
      <c r="N11" s="71">
        <f>('Hotel data'!O9+'Hotel data'!O10)/(('Hotel data'!O10*$D$3)+'Hotel data'!O13)</f>
        <v>1.0431654676258992</v>
      </c>
      <c r="O11" s="71">
        <f>('Hotel data'!P9+'Hotel data'!P10)/(('Hotel data'!P10*$D$3)+'Hotel data'!P13)</f>
        <v>0.86515850358250002</v>
      </c>
      <c r="P11" s="71">
        <f>('Hotel data'!Q9+'Hotel data'!Q10)/(('Hotel data'!Q10*$D$3)+'Hotel data'!Q13)</f>
        <v>0.79789955699926407</v>
      </c>
    </row>
    <row r="12" spans="1:16" x14ac:dyDescent="0.25">
      <c r="A12" s="19" t="s">
        <v>24</v>
      </c>
      <c r="B12" s="72">
        <f>'Hotel data'!C22</f>
        <v>0.77622556962025313</v>
      </c>
      <c r="C12" s="72">
        <f>'Hotel data'!D22</f>
        <v>0.65</v>
      </c>
      <c r="D12" s="72">
        <f>'Hotel data'!E22</f>
        <v>0.74752475247524752</v>
      </c>
      <c r="E12" s="72">
        <f>'Hotel data'!F22</f>
        <v>0.7299580937060125</v>
      </c>
      <c r="F12" s="72">
        <f>'Hotel data'!G22</f>
        <v>0.47564000000000001</v>
      </c>
      <c r="G12" s="72">
        <f>'Hotel data'!H22</f>
        <v>0.79999035294117649</v>
      </c>
      <c r="H12" s="72">
        <f>'Hotel data'!I22</f>
        <v>0.79539227272727275</v>
      </c>
      <c r="I12" s="72">
        <f>'Hotel data'!J22</f>
        <v>0.68455770833333329</v>
      </c>
      <c r="J12" s="72">
        <f>'Hotel data'!K22</f>
        <v>0.95609315476190471</v>
      </c>
      <c r="K12" s="72">
        <f>'Hotel data'!L22</f>
        <v>0.60714291496599193</v>
      </c>
      <c r="L12" s="72">
        <f>'Hotel data'!M22</f>
        <v>0.54206211111111113</v>
      </c>
      <c r="M12" s="72">
        <f>'Hotel data'!N22</f>
        <v>0.55123698113207542</v>
      </c>
      <c r="N12" s="72">
        <f>'Hotel data'!O22</f>
        <v>0.74757281553398058</v>
      </c>
      <c r="O12" s="72">
        <f>'Hotel data'!P22</f>
        <v>0.6</v>
      </c>
      <c r="P12" s="72">
        <f>'Hotel data'!Q22</f>
        <v>0.55602240896358546</v>
      </c>
    </row>
    <row r="13" spans="1:16" ht="15.75" thickBot="1" x14ac:dyDescent="0.3">
      <c r="A13" s="22" t="s">
        <v>21</v>
      </c>
      <c r="B13" s="73">
        <f>'Hotel data'!C20/('Hotel data'!C21*(1-$B$4))</f>
        <v>0.8624728551336146</v>
      </c>
      <c r="C13" s="73">
        <f>'Hotel data'!D20/('Hotel data'!D21*(1-$B$4))</f>
        <v>0.72222222222222221</v>
      </c>
      <c r="D13" s="73">
        <f>'Hotel data'!E20/('Hotel data'!E21*(1-$B$4))</f>
        <v>0.83058305830583057</v>
      </c>
      <c r="E13" s="73">
        <f>'Hotel data'!F20/('Hotel data'!F21*(1-$B$4))</f>
        <v>0.81106454856223609</v>
      </c>
      <c r="F13" s="73">
        <f>'Hotel data'!G20/('Hotel data'!G21*(1-$B$4))</f>
        <v>0.5284888888888889</v>
      </c>
      <c r="G13" s="73">
        <f>'Hotel data'!H20/('Hotel data'!H21*(1-$B$4))</f>
        <v>0.88887816993464053</v>
      </c>
      <c r="H13" s="73">
        <f>'Hotel data'!I20/('Hotel data'!I21*(1-$B$4))</f>
        <v>0.8837691919191919</v>
      </c>
      <c r="I13" s="73">
        <f>'Hotel data'!J20/('Hotel data'!J21*(1-$B$4))</f>
        <v>0.76061967592592594</v>
      </c>
      <c r="J13" s="73">
        <f>'Hotel data'!K20/('Hotel data'!K21*(1-$B$4))</f>
        <v>1.0623257275132274</v>
      </c>
      <c r="K13" s="73">
        <f>'Hotel data'!L20/('Hotel data'!L21*(1-$B$4))</f>
        <v>0.67460323885110207</v>
      </c>
      <c r="L13" s="73">
        <f>'Hotel data'!M20/('Hotel data'!M21*(1-$B$4))</f>
        <v>0.60229123456790123</v>
      </c>
      <c r="M13" s="73">
        <f>'Hotel data'!N20/('Hotel data'!N21*(1-$B$4))</f>
        <v>0.61248553459119492</v>
      </c>
      <c r="N13" s="73">
        <f>'Hotel data'!O20/('Hotel data'!O21*(1-$B$4))</f>
        <v>0.83063646170442285</v>
      </c>
      <c r="O13" s="73">
        <f>'Hotel data'!P20/('Hotel data'!P21*(1-$B$4))</f>
        <v>0.66666666666666663</v>
      </c>
      <c r="P13" s="74">
        <f>'Hotel data'!Q20/('Hotel data'!Q21*(1-$B$4))</f>
        <v>0.61780267662620603</v>
      </c>
    </row>
    <row r="15" spans="1:16" ht="15.75" thickBot="1" x14ac:dyDescent="0.3">
      <c r="A15" s="11" t="s">
        <v>44</v>
      </c>
    </row>
    <row r="16" spans="1:16" x14ac:dyDescent="0.25">
      <c r="A16" s="13" t="s">
        <v>17</v>
      </c>
      <c r="B16" s="16">
        <f>Summary!C52</f>
        <v>0.15</v>
      </c>
    </row>
    <row r="17" spans="1:27" x14ac:dyDescent="0.25">
      <c r="A17" s="14" t="s">
        <v>94</v>
      </c>
      <c r="B17" s="17">
        <f>Summary!C56</f>
        <v>0.04</v>
      </c>
      <c r="D17">
        <f>IF(B17=0.01,0.2,IF(B17=0.02,0.4,IF(B17=0.03,0.6,IF(B17=0.04,0.8,IF(B17=0.05,1)))))</f>
        <v>0.8</v>
      </c>
    </row>
    <row r="18" spans="1:27" ht="15.75" thickBot="1" x14ac:dyDescent="0.3">
      <c r="A18" s="15" t="s">
        <v>20</v>
      </c>
      <c r="B18" s="18">
        <f>Summary!C48</f>
        <v>0.1</v>
      </c>
    </row>
    <row r="19" spans="1:27" ht="15.75" thickBot="1" x14ac:dyDescent="0.3">
      <c r="A19" s="11"/>
    </row>
    <row r="20" spans="1:27" x14ac:dyDescent="0.25">
      <c r="A20" s="24" t="s">
        <v>22</v>
      </c>
      <c r="B20" s="26" t="str">
        <f>'Apartment data'!C1</f>
        <v>John Doe</v>
      </c>
      <c r="C20" s="26">
        <f>'Apartment data'!D1</f>
        <v>0</v>
      </c>
      <c r="D20" s="26">
        <f>'Apartment data'!E1</f>
        <v>0</v>
      </c>
      <c r="E20" s="26">
        <f>'Apartment data'!F1</f>
        <v>0</v>
      </c>
      <c r="F20" s="26">
        <f>'Apartment data'!G1</f>
        <v>0</v>
      </c>
      <c r="G20" s="26">
        <f>'Apartment data'!H1</f>
        <v>0</v>
      </c>
      <c r="H20" s="26">
        <f>'Apartment data'!I1</f>
        <v>0</v>
      </c>
      <c r="I20" s="26">
        <f>'Apartment data'!J1</f>
        <v>0</v>
      </c>
      <c r="J20" s="26">
        <f>'Apartment data'!K1</f>
        <v>0</v>
      </c>
      <c r="K20" s="26">
        <f>'Apartment data'!L1</f>
        <v>0</v>
      </c>
      <c r="L20" s="26">
        <f>'Apartment data'!M1</f>
        <v>0</v>
      </c>
      <c r="M20" s="26">
        <f>'Apartment data'!N1</f>
        <v>0</v>
      </c>
      <c r="N20" s="26">
        <f>'Apartment data'!O1</f>
        <v>0</v>
      </c>
      <c r="O20" s="26">
        <f>'Apartment data'!P1</f>
        <v>0</v>
      </c>
      <c r="P20" s="26">
        <f>'Apartment data'!Q1</f>
        <v>0</v>
      </c>
      <c r="Q20" s="26">
        <f>'Apartment data'!R1</f>
        <v>0</v>
      </c>
      <c r="R20" s="26">
        <f>'Apartment data'!S1</f>
        <v>0</v>
      </c>
      <c r="S20" s="26">
        <f>'Apartment data'!T1</f>
        <v>0</v>
      </c>
      <c r="T20" s="26">
        <f>'Apartment data'!U1</f>
        <v>0</v>
      </c>
      <c r="U20" s="26">
        <f>'Apartment data'!V1</f>
        <v>0</v>
      </c>
      <c r="V20" s="26">
        <f>'Apartment data'!W1</f>
        <v>0</v>
      </c>
      <c r="W20" s="26">
        <f>'Apartment data'!X1</f>
        <v>0</v>
      </c>
      <c r="X20" s="26">
        <f>'Apartment data'!Y1</f>
        <v>0</v>
      </c>
      <c r="Y20" s="26">
        <f>'Apartment data'!Z1</f>
        <v>0</v>
      </c>
      <c r="Z20" s="26">
        <f>'Apartment data'!AA1</f>
        <v>0</v>
      </c>
      <c r="AA20" s="26">
        <f>'Apartment data'!AB1</f>
        <v>0</v>
      </c>
    </row>
    <row r="21" spans="1:27" ht="15.75" thickBot="1" x14ac:dyDescent="0.3">
      <c r="A21" s="25" t="s">
        <v>25</v>
      </c>
      <c r="B21" s="27" t="str">
        <f>'Apartment data'!C2</f>
        <v>Bismarck, ND</v>
      </c>
      <c r="C21" s="27">
        <f>'Apartment data'!D2</f>
        <v>0</v>
      </c>
      <c r="D21" s="27">
        <f>'Apartment data'!E2</f>
        <v>0</v>
      </c>
      <c r="E21" s="27">
        <f>'Apartment data'!F2</f>
        <v>0</v>
      </c>
      <c r="F21" s="27">
        <f>'Apartment data'!G2</f>
        <v>0</v>
      </c>
      <c r="G21" s="27">
        <f>'Apartment data'!H2</f>
        <v>0</v>
      </c>
      <c r="H21" s="27">
        <f>'Apartment data'!I2</f>
        <v>0</v>
      </c>
      <c r="I21" s="27">
        <f>'Apartment data'!J2</f>
        <v>0</v>
      </c>
      <c r="J21" s="27">
        <f>'Apartment data'!K2</f>
        <v>0</v>
      </c>
      <c r="K21" s="27">
        <f>'Apartment data'!L2</f>
        <v>0</v>
      </c>
      <c r="L21" s="27">
        <f>'Apartment data'!M2</f>
        <v>0</v>
      </c>
      <c r="M21" s="27">
        <f>'Apartment data'!N2</f>
        <v>0</v>
      </c>
      <c r="N21" s="27">
        <f>'Apartment data'!O2</f>
        <v>0</v>
      </c>
      <c r="O21" s="27">
        <f>'Apartment data'!P2</f>
        <v>0</v>
      </c>
      <c r="P21" s="27">
        <f>'Apartment data'!Q2</f>
        <v>0</v>
      </c>
      <c r="Q21" s="27">
        <f>'Apartment data'!R2</f>
        <v>0</v>
      </c>
      <c r="R21" s="27">
        <f>'Apartment data'!S2</f>
        <v>0</v>
      </c>
      <c r="S21" s="27">
        <f>'Apartment data'!T2</f>
        <v>0</v>
      </c>
      <c r="T21" s="27">
        <f>'Apartment data'!U2</f>
        <v>0</v>
      </c>
      <c r="U21" s="27">
        <f>'Apartment data'!V2</f>
        <v>0</v>
      </c>
      <c r="V21" s="27">
        <f>'Apartment data'!W2</f>
        <v>0</v>
      </c>
      <c r="W21" s="27">
        <f>'Apartment data'!X2</f>
        <v>0</v>
      </c>
      <c r="X21" s="27">
        <f>'Apartment data'!Y2</f>
        <v>0</v>
      </c>
      <c r="Y21" s="27">
        <f>'Apartment data'!Z2</f>
        <v>0</v>
      </c>
      <c r="Z21" s="27">
        <f>'Apartment data'!AA2</f>
        <v>0</v>
      </c>
      <c r="AA21" s="27">
        <f>'Apartment data'!AB2</f>
        <v>0</v>
      </c>
    </row>
    <row r="22" spans="1:27" x14ac:dyDescent="0.25">
      <c r="A22" s="23" t="s">
        <v>16</v>
      </c>
      <c r="B22" s="29" t="str">
        <f>'Apartment data'!C3</f>
        <v>Projections</v>
      </c>
      <c r="C22" s="29">
        <f>'Apartment data'!D3</f>
        <v>44926</v>
      </c>
      <c r="D22" s="29">
        <f>'Apartment data'!E3</f>
        <v>44926</v>
      </c>
      <c r="E22" s="29">
        <f>'Apartment data'!F3</f>
        <v>44926</v>
      </c>
      <c r="F22" s="29">
        <f>'Apartment data'!G3</f>
        <v>44926</v>
      </c>
      <c r="G22" s="29">
        <f>'Apartment data'!H3</f>
        <v>44926</v>
      </c>
      <c r="H22" s="29">
        <f>'Apartment data'!I3</f>
        <v>44926</v>
      </c>
      <c r="I22" s="29">
        <f>'Apartment data'!J3</f>
        <v>44926</v>
      </c>
      <c r="J22" s="29">
        <f>'Apartment data'!K3</f>
        <v>44926</v>
      </c>
      <c r="K22" s="29">
        <f>'Apartment data'!L3</f>
        <v>44926</v>
      </c>
      <c r="L22" s="29">
        <f>'Apartment data'!M3</f>
        <v>44926</v>
      </c>
      <c r="M22" s="29">
        <f>'Apartment data'!N3</f>
        <v>44926</v>
      </c>
      <c r="N22" s="29">
        <f>'Apartment data'!O3</f>
        <v>44926</v>
      </c>
      <c r="O22" s="29">
        <f>'Apartment data'!P3</f>
        <v>44926</v>
      </c>
      <c r="P22" s="29">
        <f>'Apartment data'!Q3</f>
        <v>44926</v>
      </c>
      <c r="Q22" s="29">
        <f>'Apartment data'!R3</f>
        <v>44926</v>
      </c>
      <c r="R22" s="29">
        <f>'Apartment data'!S3</f>
        <v>44926</v>
      </c>
      <c r="S22" s="29">
        <f>'Apartment data'!T3</f>
        <v>44926</v>
      </c>
      <c r="T22" s="29">
        <f>'Apartment data'!U3</f>
        <v>44926</v>
      </c>
      <c r="U22" s="29">
        <f>'Apartment data'!V3</f>
        <v>44926</v>
      </c>
      <c r="V22" s="29">
        <f>'Apartment data'!W3</f>
        <v>44926</v>
      </c>
      <c r="W22" s="29">
        <f>'Apartment data'!X3</f>
        <v>44926</v>
      </c>
      <c r="X22" s="29">
        <f>'Apartment data'!Y3</f>
        <v>44926</v>
      </c>
      <c r="Y22" s="29">
        <f>'Apartment data'!Z3</f>
        <v>44926</v>
      </c>
      <c r="Z22" s="29">
        <f>'Apartment data'!AA3</f>
        <v>44926</v>
      </c>
      <c r="AA22" s="29">
        <f>'Apartment data'!AB3</f>
        <v>44926</v>
      </c>
    </row>
    <row r="23" spans="1:27" x14ac:dyDescent="0.25">
      <c r="A23" s="20" t="s">
        <v>15</v>
      </c>
      <c r="B23" s="69">
        <f>'Apartment data'!C13</f>
        <v>1.6120901387694953</v>
      </c>
      <c r="C23" s="69">
        <f>'Apartment data'!D13</f>
        <v>0.71996829186234612</v>
      </c>
      <c r="D23" s="69">
        <f>'Apartment data'!E13</f>
        <v>1.2667534642562173</v>
      </c>
      <c r="E23" s="69">
        <f>'Apartment data'!F13</f>
        <v>1.1869432827354434</v>
      </c>
      <c r="F23" s="69">
        <f>'Apartment data'!G13</f>
        <v>1.2510163460860988</v>
      </c>
      <c r="G23" s="69">
        <f>'Apartment data'!H13</f>
        <v>0.80455036992501294</v>
      </c>
      <c r="H23" s="69">
        <f>'Apartment data'!I13</f>
        <v>1.3494375966154097</v>
      </c>
      <c r="I23" s="69">
        <f>'Apartment data'!J13</f>
        <v>1.0108355359765051</v>
      </c>
      <c r="J23" s="69">
        <f>'Apartment data'!K13</f>
        <v>0.50830564784053156</v>
      </c>
      <c r="K23" s="69">
        <f>'Apartment data'!L13</f>
        <v>0.69886419075497008</v>
      </c>
      <c r="L23" s="69">
        <f>'Apartment data'!M13</f>
        <v>0.57043986465702856</v>
      </c>
      <c r="M23" s="69">
        <f>'Apartment data'!N13</f>
        <v>0.75627530598719039</v>
      </c>
      <c r="N23" s="69">
        <f>'Apartment data'!O13</f>
        <v>0.41998856729546541</v>
      </c>
      <c r="O23" s="69">
        <f>'Apartment data'!P13</f>
        <v>0.62583892617449666</v>
      </c>
      <c r="P23" s="69">
        <f>'Apartment data'!Q13</f>
        <v>1.0741586029679182</v>
      </c>
      <c r="Q23" s="69">
        <f>'Apartment data'!R13</f>
        <v>1.1879662489893255</v>
      </c>
      <c r="R23" s="69">
        <f>'Apartment data'!S13</f>
        <v>0.73611233299035717</v>
      </c>
      <c r="S23" s="69">
        <f>'Apartment data'!T13</f>
        <v>0.57502046979508936</v>
      </c>
      <c r="T23" s="69">
        <f>'Apartment data'!U13</f>
        <v>0.52329176146176182</v>
      </c>
      <c r="U23" s="69">
        <f>'Apartment data'!V13</f>
        <v>1.0804721217594693</v>
      </c>
      <c r="V23" s="69">
        <f>'Apartment data'!W13</f>
        <v>0.70598710450195601</v>
      </c>
      <c r="W23" s="69">
        <f>'Apartment data'!X13</f>
        <v>1.1995657997406122</v>
      </c>
      <c r="X23" s="69">
        <f>'Apartment data'!Y13</f>
        <v>0.71438649735111681</v>
      </c>
      <c r="Y23" s="69">
        <f>'Apartment data'!Z13</f>
        <v>0.89457337928684688</v>
      </c>
      <c r="Z23" s="69">
        <f>'Apartment data'!AA13</f>
        <v>0.6872070338960089</v>
      </c>
      <c r="AA23" s="69">
        <f>'Apartment data'!AB13</f>
        <v>1.2182764080524768</v>
      </c>
    </row>
    <row r="24" spans="1:27" x14ac:dyDescent="0.25">
      <c r="A24" s="21" t="s">
        <v>18</v>
      </c>
      <c r="B24" s="75">
        <f>((('Apartment data'!C5*(1-$B$16))-'Apartment data'!C16)+'Apartment data'!C7+'Apartment data'!C9)/'Apartment data'!C12</f>
        <v>0.52228294240451889</v>
      </c>
      <c r="C24" s="75">
        <f>((('Apartment data'!D5*(1-$B$16))-'Apartment data'!D16)+'Apartment data'!D7+'Apartment data'!D9)/'Apartment data'!D12</f>
        <v>0.58733356684287419</v>
      </c>
      <c r="D24" s="75">
        <f>((('Apartment data'!E5*(1-$B$16))-'Apartment data'!E16)+'Apartment data'!E7+'Apartment data'!E9)/'Apartment data'!E12</f>
        <v>0.91170792419932078</v>
      </c>
      <c r="E24" s="75">
        <f>((('Apartment data'!F5*(1-$B$16))-'Apartment data'!F16)+'Apartment data'!F7+'Apartment data'!F9)/'Apartment data'!F12</f>
        <v>0.91929054587390391</v>
      </c>
      <c r="F24" s="75">
        <f>((('Apartment data'!G5*(1-$B$16))-'Apartment data'!G16)+'Apartment data'!G7+'Apartment data'!G9)/'Apartment data'!G12</f>
        <v>0.93897343761008945</v>
      </c>
      <c r="G24" s="75">
        <f>((('Apartment data'!H5*(1-$B$16))-'Apartment data'!H16)+'Apartment data'!H7+'Apartment data'!H9)/'Apartment data'!H12</f>
        <v>0.58346887160345362</v>
      </c>
      <c r="H24" s="75">
        <f>((('Apartment data'!I5*(1-$B$16))-'Apartment data'!I16)+'Apartment data'!I7+'Apartment data'!I9)/'Apartment data'!I12</f>
        <v>1.0627766251728905</v>
      </c>
      <c r="I24" s="75">
        <f>((('Apartment data'!J5*(1-$B$16))-'Apartment data'!J16)+'Apartment data'!J7+'Apartment data'!J9)/'Apartment data'!J12</f>
        <v>0.76628146108663719</v>
      </c>
      <c r="J24" s="75">
        <f>((('Apartment data'!K5*(1-$B$16))-'Apartment data'!K16)+'Apartment data'!K7+'Apartment data'!K9)/'Apartment data'!K12</f>
        <v>0.38488372093023254</v>
      </c>
      <c r="K24" s="75">
        <f>((('Apartment data'!L5*(1-$B$16))-'Apartment data'!L16)+'Apartment data'!L7+'Apartment data'!L9)/'Apartment data'!L12</f>
        <v>0.49883789181607513</v>
      </c>
      <c r="L24" s="75">
        <f>((('Apartment data'!M5*(1-$B$16))-'Apartment data'!M16)+'Apartment data'!M7+'Apartment data'!M9)/'Apartment data'!M12</f>
        <v>0.38018302060904335</v>
      </c>
      <c r="M24" s="75">
        <f>((('Apartment data'!N5*(1-$B$16))-'Apartment data'!N16)+'Apartment data'!N7+'Apartment data'!N9)/'Apartment data'!N12</f>
        <v>0.5136010546392259</v>
      </c>
      <c r="N24" s="75">
        <f>((('Apartment data'!O5*(1-$B$16))-'Apartment data'!O16)+'Apartment data'!O7+'Apartment data'!O9)/'Apartment data'!O12</f>
        <v>0.26721482401801239</v>
      </c>
      <c r="O24" s="75">
        <f>((('Apartment data'!P5*(1-$B$16))-'Apartment data'!P16)+'Apartment data'!P7+'Apartment data'!P9)/'Apartment data'!P12</f>
        <v>0.39958053691275169</v>
      </c>
      <c r="P24" s="75">
        <f>((('Apartment data'!Q5*(1-$B$16))-'Apartment data'!Q16)+'Apartment data'!Q7+'Apartment data'!Q9)/'Apartment data'!Q12</f>
        <v>0.78520083230487625</v>
      </c>
      <c r="Q24" s="75">
        <f>((('Apartment data'!R5*(1-$B$16))-'Apartment data'!R16)+'Apartment data'!R7+'Apartment data'!R9)/'Apartment data'!R12</f>
        <v>0.84615571704547032</v>
      </c>
      <c r="R24" s="75">
        <f>((('Apartment data'!S5*(1-$B$16))-'Apartment data'!S16)+'Apartment data'!S7+'Apartment data'!S9)/'Apartment data'!S12</f>
        <v>0.52189686234159649</v>
      </c>
      <c r="S24" s="75">
        <f>((('Apartment data'!T5*(1-$B$16))-'Apartment data'!T16)+'Apartment data'!T7+'Apartment data'!T9)/'Apartment data'!T12</f>
        <v>0.41432008379323909</v>
      </c>
      <c r="T24" s="75">
        <f>((('Apartment data'!U5*(1-$B$16))-'Apartment data'!U16)+'Apartment data'!U7+'Apartment data'!U9)/'Apartment data'!U12</f>
        <v>0.37302885672119818</v>
      </c>
      <c r="U24" s="75">
        <f>((('Apartment data'!V5*(1-$B$16))-'Apartment data'!V16)+'Apartment data'!V7+'Apartment data'!V9)/'Apartment data'!V12</f>
        <v>0.86163956600090719</v>
      </c>
      <c r="V24" s="75">
        <f>((('Apartment data'!W5*(1-$B$16))-'Apartment data'!W16)+'Apartment data'!W7+'Apartment data'!W9)/'Apartment data'!W12</f>
        <v>0.4486339946735986</v>
      </c>
      <c r="W24" s="75">
        <f>((('Apartment data'!X5*(1-$B$16))-'Apartment data'!X16)+'Apartment data'!X7+'Apartment data'!X9)/'Apartment data'!X12</f>
        <v>0.98002926516825706</v>
      </c>
      <c r="X24" s="75">
        <f>((('Apartment data'!Y5*(1-$B$16))-'Apartment data'!Y16)+'Apartment data'!Y7+'Apartment data'!Y9)/'Apartment data'!Y12</f>
        <v>0.37467770811703011</v>
      </c>
      <c r="Y24" s="75">
        <f>((('Apartment data'!Z5*(1-$B$16))-'Apartment data'!Z16)+'Apartment data'!Z7+'Apartment data'!Z9)/'Apartment data'!Z12</f>
        <v>0.61054806772464587</v>
      </c>
      <c r="Z24" s="75">
        <f>((('Apartment data'!AA5*(1-$B$16))-'Apartment data'!AA16)+'Apartment data'!AA7+'Apartment data'!AA9)/'Apartment data'!AA12</f>
        <v>0.44286517462811936</v>
      </c>
      <c r="AA24" s="75">
        <f>((('Apartment data'!AB5*(1-$B$16))-'Apartment data'!AB16)+'Apartment data'!AB7+'Apartment data'!AB9)/'Apartment data'!AB12</f>
        <v>0.92033971386564117</v>
      </c>
    </row>
    <row r="25" spans="1:27" ht="15.75" thickBot="1" x14ac:dyDescent="0.3">
      <c r="A25" s="22" t="s">
        <v>19</v>
      </c>
      <c r="B25" s="71">
        <f>('Apartment data'!C8+'Apartment data'!C9)/(('Apartment data'!C9*$D$17)+'Apartment data'!C12)</f>
        <v>1.006459403511462</v>
      </c>
      <c r="C25" s="71">
        <f>('Apartment data'!D8+'Apartment data'!D9)/(('Apartment data'!D9*$D$17)+'Apartment data'!D12)</f>
        <v>0.50328039582533735</v>
      </c>
      <c r="D25" s="71">
        <f>('Apartment data'!E8+'Apartment data'!E9)/(('Apartment data'!E9*$D$17)+'Apartment data'!E12)</f>
        <v>0.86832814367490718</v>
      </c>
      <c r="E25" s="71">
        <f>('Apartment data'!F8+'Apartment data'!F9)/(('Apartment data'!F9*$D$17)+'Apartment data'!F12)</f>
        <v>0.7623618984636843</v>
      </c>
      <c r="F25" s="71">
        <f>('Apartment data'!G8+'Apartment data'!G9)/(('Apartment data'!G9*$D$17)+'Apartment data'!G12)</f>
        <v>0.771790572994138</v>
      </c>
      <c r="G25" s="71">
        <f>('Apartment data'!H8+'Apartment data'!H9)/(('Apartment data'!H9*$D$17)+'Apartment data'!H12)</f>
        <v>0.5469685374849631</v>
      </c>
      <c r="H25" s="71">
        <f>('Apartment data'!I8+'Apartment data'!I9)/(('Apartment data'!I9*$D$17)+'Apartment data'!I12)</f>
        <v>0.87827265157422207</v>
      </c>
      <c r="I25" s="71">
        <f>('Apartment data'!J8+'Apartment data'!J9)/(('Apartment data'!J9*$D$17)+'Apartment data'!J12)</f>
        <v>0.63866766372620698</v>
      </c>
      <c r="J25" s="71">
        <f>('Apartment data'!K8+'Apartment data'!K9)/(('Apartment data'!K9*$D$17)+'Apartment data'!K12)</f>
        <v>0.37810142014563908</v>
      </c>
      <c r="K25" s="71">
        <f>('Apartment data'!L8+'Apartment data'!L9)/(('Apartment data'!L9*$D$17)+'Apartment data'!L12)</f>
        <v>0.45290221638023631</v>
      </c>
      <c r="L25" s="71">
        <f>('Apartment data'!M8+'Apartment data'!M9)/(('Apartment data'!M9*$D$17)+'Apartment data'!M12)</f>
        <v>0.37805275818485751</v>
      </c>
      <c r="M25" s="71">
        <f>('Apartment data'!N8+'Apartment data'!N9)/(('Apartment data'!N9*$D$17)+'Apartment data'!N12)</f>
        <v>0.5176992360187388</v>
      </c>
      <c r="N25" s="71">
        <f>('Apartment data'!O8+'Apartment data'!O9)/(('Apartment data'!O9*$D$17)+'Apartment data'!O12)</f>
        <v>0.27910103021598198</v>
      </c>
      <c r="O25" s="71">
        <f>('Apartment data'!P8+'Apartment data'!P9)/(('Apartment data'!P9*$D$17)+'Apartment data'!P12)</f>
        <v>0.39500526956091514</v>
      </c>
      <c r="P25" s="71">
        <f>('Apartment data'!Q8+'Apartment data'!Q9)/(('Apartment data'!Q9*$D$17)+'Apartment data'!Q12)</f>
        <v>0.74532543219388336</v>
      </c>
      <c r="Q25" s="71">
        <f>('Apartment data'!R8+'Apartment data'!R9)/(('Apartment data'!R9*$D$17)+'Apartment data'!R12)</f>
        <v>0.69743709463093539</v>
      </c>
      <c r="R25" s="71">
        <f>('Apartment data'!S8+'Apartment data'!S9)/(('Apartment data'!S9*$D$17)+'Apartment data'!S12)</f>
        <v>0.51610281990425999</v>
      </c>
      <c r="S25" s="71">
        <f>('Apartment data'!T8+'Apartment data'!T9)/(('Apartment data'!T9*$D$17)+'Apartment data'!T12)</f>
        <v>0.49699279631341831</v>
      </c>
      <c r="T25" s="71">
        <f>('Apartment data'!U8+'Apartment data'!U9)/(('Apartment data'!U9*$D$17)+'Apartment data'!U12)</f>
        <v>0.38724600698368572</v>
      </c>
      <c r="U25" s="71">
        <f>('Apartment data'!V8+'Apartment data'!V9)/(('Apartment data'!V9*$D$17)+'Apartment data'!V12)</f>
        <v>0.68208815198918882</v>
      </c>
      <c r="V25" s="71">
        <f>('Apartment data'!W8+'Apartment data'!W9)/(('Apartment data'!W9*$D$17)+'Apartment data'!W12)</f>
        <v>0.42799310313394889</v>
      </c>
      <c r="W25" s="71">
        <f>('Apartment data'!X8+'Apartment data'!X9)/(('Apartment data'!X9*$D$17)+'Apartment data'!X12)</f>
        <v>0.77691113972911297</v>
      </c>
      <c r="X25" s="71">
        <f>('Apartment data'!Y8+'Apartment data'!Y9)/(('Apartment data'!Y9*$D$17)+'Apartment data'!Y12)</f>
        <v>0.51100874453466583</v>
      </c>
      <c r="Y25" s="71">
        <f>('Apartment data'!Z8+'Apartment data'!Z9)/(('Apartment data'!Z9*$D$17)+'Apartment data'!Z12)</f>
        <v>0.62984512216950761</v>
      </c>
      <c r="Z25" s="71">
        <f>('Apartment data'!AA8+'Apartment data'!AA9)/(('Apartment data'!AA9*$D$17)+'Apartment data'!AA12)</f>
        <v>0.45256467142656615</v>
      </c>
      <c r="AA25" s="71">
        <f>('Apartment data'!AB8+'Apartment data'!AB9)/(('Apartment data'!AB9*$D$17)+'Apartment data'!AB12)</f>
        <v>0.84489587826973611</v>
      </c>
    </row>
    <row r="26" spans="1:27" x14ac:dyDescent="0.25">
      <c r="A26" s="19" t="s">
        <v>24</v>
      </c>
      <c r="B26" s="72">
        <f>'Apartment data'!C21</f>
        <v>0.5714285714285714</v>
      </c>
      <c r="C26" s="72">
        <f>'Apartment data'!D21</f>
        <v>0.69264400000000004</v>
      </c>
      <c r="D26" s="72">
        <f>'Apartment data'!E21</f>
        <v>0.64308681672025725</v>
      </c>
      <c r="E26" s="72">
        <f>'Apartment data'!F21</f>
        <v>0.75062443396328993</v>
      </c>
      <c r="F26" s="72">
        <f>'Apartment data'!G21</f>
        <v>0.75000002127581167</v>
      </c>
      <c r="G26" s="72">
        <f>'Apartment data'!H21</f>
        <v>0.75490226666666671</v>
      </c>
      <c r="H26" s="72">
        <f>'Apartment data'!I21</f>
        <v>0.74086793750000002</v>
      </c>
      <c r="I26" s="72">
        <f>'Apartment data'!J21</f>
        <v>0.69122954400890679</v>
      </c>
      <c r="J26" s="72">
        <f>'Apartment data'!K21</f>
        <v>0.55972903239740823</v>
      </c>
      <c r="K26" s="72">
        <f>'Apartment data'!L21</f>
        <v>0.67232738675958192</v>
      </c>
      <c r="L26" s="72">
        <f>'Apartment data'!M21</f>
        <v>0.70730573099415206</v>
      </c>
      <c r="M26" s="72">
        <f>'Apartment data'!N21</f>
        <v>0.89216643086816716</v>
      </c>
      <c r="N26" s="72">
        <f>'Apartment data'!O21</f>
        <v>0.71310988694047073</v>
      </c>
      <c r="O26" s="72">
        <f>'Apartment data'!P21</f>
        <v>1.0507163026426933</v>
      </c>
      <c r="P26" s="72">
        <f>'Apartment data'!Q21</f>
        <v>0.71006583333333329</v>
      </c>
      <c r="Q26" s="72">
        <f>'Apartment data'!R21</f>
        <v>0.65362437630409143</v>
      </c>
      <c r="R26" s="72">
        <f>'Apartment data'!S21</f>
        <v>0.59438760711931449</v>
      </c>
      <c r="S26" s="72">
        <f>'Apartment data'!T21</f>
        <v>0.61834167852062594</v>
      </c>
      <c r="T26" s="72">
        <f>'Apartment data'!U21</f>
        <v>1.1140852991452992</v>
      </c>
      <c r="U26" s="72">
        <f>'Apartment data'!V21</f>
        <v>0.6500717509727626</v>
      </c>
      <c r="V26" s="72">
        <f>'Apartment data'!W21</f>
        <v>0.68200053891754564</v>
      </c>
      <c r="W26" s="72">
        <f>'Apartment data'!X21</f>
        <v>0.80293819655521781</v>
      </c>
      <c r="X26" s="72">
        <f>'Apartment data'!Y21</f>
        <v>0.41457660377358491</v>
      </c>
      <c r="Y26" s="72">
        <f>'Apartment data'!Z21</f>
        <v>0.62617885245901639</v>
      </c>
      <c r="Z26" s="72">
        <f>'Apartment data'!AA21</f>
        <v>0.54652612440191384</v>
      </c>
      <c r="AA26" s="72">
        <f>'Apartment data'!AB21</f>
        <v>0.63580246913580252</v>
      </c>
    </row>
    <row r="27" spans="1:27" ht="15.75" thickBot="1" x14ac:dyDescent="0.3">
      <c r="A27" s="22" t="s">
        <v>21</v>
      </c>
      <c r="B27" s="73">
        <f>'Apartment data'!C19/('Apartment data'!C20*(1-$B$18))</f>
        <v>0.63492063492063489</v>
      </c>
      <c r="C27" s="73">
        <f>'Apartment data'!D19/('Apartment data'!D20*(1-$B$18))</f>
        <v>0.76960444444444442</v>
      </c>
      <c r="D27" s="73">
        <f>'Apartment data'!E19/('Apartment data'!E20*(1-$B$18))</f>
        <v>0.71454090746695254</v>
      </c>
      <c r="E27" s="73">
        <f>'Apartment data'!F19/('Apartment data'!F20*(1-$B$18))</f>
        <v>0.83402714884809992</v>
      </c>
      <c r="F27" s="73">
        <f>'Apartment data'!G19/('Apartment data'!G20*(1-$B$18))</f>
        <v>0.83333335697312405</v>
      </c>
      <c r="G27" s="73">
        <f>'Apartment data'!H19/('Apartment data'!H20*(1-$B$18))</f>
        <v>0.83878029629629625</v>
      </c>
      <c r="H27" s="73">
        <f>'Apartment data'!I19/('Apartment data'!I20*(1-$B$18))</f>
        <v>0.8231865972222222</v>
      </c>
      <c r="I27" s="73">
        <f>'Apartment data'!J19/('Apartment data'!J20*(1-$B$18))</f>
        <v>0.76803282667656303</v>
      </c>
      <c r="J27" s="73">
        <f>'Apartment data'!K19/('Apartment data'!K20*(1-$B$18))</f>
        <v>0.62192114710823132</v>
      </c>
      <c r="K27" s="73">
        <f>'Apartment data'!L19/('Apartment data'!L20*(1-$B$18))</f>
        <v>0.74703042973286871</v>
      </c>
      <c r="L27" s="73">
        <f>'Apartment data'!M19/('Apartment data'!M20*(1-$B$18))</f>
        <v>0.78589525666016891</v>
      </c>
      <c r="M27" s="73">
        <f>'Apartment data'!N19/('Apartment data'!N20*(1-$B$18))</f>
        <v>0.99129603429796354</v>
      </c>
      <c r="N27" s="73">
        <f>'Apartment data'!O19/('Apartment data'!O20*(1-$B$18))</f>
        <v>0.79234431882274525</v>
      </c>
      <c r="O27" s="73">
        <f>'Apartment data'!P19/('Apartment data'!P20*(1-$B$18))</f>
        <v>1.1674625584918816</v>
      </c>
      <c r="P27" s="73">
        <f>'Apartment data'!Q19/('Apartment data'!Q20*(1-$B$18))</f>
        <v>0.78896203703703705</v>
      </c>
      <c r="Q27" s="73">
        <f>'Apartment data'!R19/('Apartment data'!R20*(1-$B$18))</f>
        <v>0.72624930700454604</v>
      </c>
      <c r="R27" s="73">
        <f>'Apartment data'!S19/('Apartment data'!S20*(1-$B$18))</f>
        <v>0.66043067457701599</v>
      </c>
      <c r="S27" s="73">
        <f>'Apartment data'!T19/('Apartment data'!T20*(1-$B$18))</f>
        <v>0.68704630946736212</v>
      </c>
      <c r="T27" s="73">
        <f>'Apartment data'!U19/('Apartment data'!U20*(1-$B$18))</f>
        <v>1.237872554605888</v>
      </c>
      <c r="U27" s="73">
        <f>'Apartment data'!V19/('Apartment data'!V20*(1-$B$18))</f>
        <v>0.72230194552529181</v>
      </c>
      <c r="V27" s="73">
        <f>'Apartment data'!W19/('Apartment data'!W20*(1-$B$18))</f>
        <v>0.75777837657505065</v>
      </c>
      <c r="W27" s="73">
        <f>'Apartment data'!X19/('Apartment data'!X20*(1-$B$18))</f>
        <v>0.8921535517280198</v>
      </c>
      <c r="X27" s="73">
        <f>'Apartment data'!Y19/('Apartment data'!Y20*(1-$B$18))</f>
        <v>0.4606406708595388</v>
      </c>
      <c r="Y27" s="73">
        <f>'Apartment data'!Z19/('Apartment data'!Z20*(1-$B$18))</f>
        <v>0.6957542805100182</v>
      </c>
      <c r="Z27" s="73">
        <f>'Apartment data'!AA19/('Apartment data'!AA20*(1-$B$18))</f>
        <v>0.60725124933545982</v>
      </c>
      <c r="AA27" s="73">
        <f>'Apartment data'!AB19/('Apartment data'!AB20*(1-$B$18))</f>
        <v>0.70644718792866945</v>
      </c>
    </row>
    <row r="29" spans="1:27" ht="15.75" thickBot="1" x14ac:dyDescent="0.3">
      <c r="A29" s="11" t="s">
        <v>48</v>
      </c>
    </row>
    <row r="30" spans="1:27" x14ac:dyDescent="0.25">
      <c r="A30" s="13" t="s">
        <v>17</v>
      </c>
      <c r="B30" s="16">
        <f>Summary!C84</f>
        <v>0.1</v>
      </c>
    </row>
    <row r="31" spans="1:27" x14ac:dyDescent="0.25">
      <c r="A31" s="14" t="s">
        <v>94</v>
      </c>
      <c r="B31" s="17">
        <f>Summary!C88</f>
        <v>0.04</v>
      </c>
      <c r="D31">
        <f>IF(B31=0.01,0.2,IF(B31=0.02,0.4,IF(B31=0.03,0.6,IF(B31=0.04,0.8,IF(B31=0.05,1)))))</f>
        <v>0.8</v>
      </c>
    </row>
    <row r="32" spans="1:27" ht="15.75" thickBot="1" x14ac:dyDescent="0.3">
      <c r="A32" s="15" t="s">
        <v>20</v>
      </c>
      <c r="B32" s="18">
        <f>Summary!C80</f>
        <v>0.1</v>
      </c>
    </row>
    <row r="33" spans="1:8" ht="15.75" thickBot="1" x14ac:dyDescent="0.3">
      <c r="A33" s="11"/>
    </row>
    <row r="34" spans="1:8" x14ac:dyDescent="0.25">
      <c r="A34" s="24" t="s">
        <v>22</v>
      </c>
      <c r="B34" s="37" t="str">
        <f>'Retail property data'!C1</f>
        <v>John Doe</v>
      </c>
      <c r="C34" s="37">
        <f>'Retail property data'!D1</f>
        <v>0</v>
      </c>
      <c r="D34" s="37">
        <f>'Retail property data'!E1</f>
        <v>0</v>
      </c>
      <c r="E34" s="37">
        <f>'Retail property data'!F1</f>
        <v>0</v>
      </c>
      <c r="F34" s="37">
        <f>'Retail property data'!G1</f>
        <v>0</v>
      </c>
      <c r="G34" s="37">
        <f>'Retail property data'!H1</f>
        <v>0</v>
      </c>
      <c r="H34" s="37">
        <f>'Retail property data'!I1</f>
        <v>0</v>
      </c>
    </row>
    <row r="35" spans="1:8" ht="15.75" thickBot="1" x14ac:dyDescent="0.3">
      <c r="A35" s="25" t="s">
        <v>25</v>
      </c>
      <c r="B35" s="27" t="str">
        <f>'Retail property data'!C2</f>
        <v>Bismarck, ND</v>
      </c>
      <c r="C35" s="27">
        <f>'Retail property data'!D2</f>
        <v>0</v>
      </c>
      <c r="D35" s="27">
        <f>'Retail property data'!E2</f>
        <v>0</v>
      </c>
      <c r="E35" s="27">
        <f>'Retail property data'!F2</f>
        <v>0</v>
      </c>
      <c r="F35" s="27">
        <f>'Retail property data'!G2</f>
        <v>0</v>
      </c>
      <c r="G35" s="27">
        <f>'Retail property data'!H2</f>
        <v>0</v>
      </c>
      <c r="H35" s="27">
        <f>'Retail property data'!I2</f>
        <v>0</v>
      </c>
    </row>
    <row r="36" spans="1:8" x14ac:dyDescent="0.25">
      <c r="A36" s="23" t="s">
        <v>16</v>
      </c>
      <c r="B36" s="29">
        <f>'Retail property data'!C3</f>
        <v>44926</v>
      </c>
      <c r="C36" s="29">
        <f>'Retail property data'!D3</f>
        <v>44926</v>
      </c>
      <c r="D36" s="29">
        <f>'Retail property data'!E3</f>
        <v>44926</v>
      </c>
      <c r="E36" s="29">
        <f>'Retail property data'!F3</f>
        <v>44926</v>
      </c>
      <c r="F36" s="29">
        <f>'Retail property data'!G3</f>
        <v>44926</v>
      </c>
      <c r="G36" s="29">
        <f>'Retail property data'!H3</f>
        <v>44926</v>
      </c>
      <c r="H36" s="29">
        <f>'Retail property data'!I3</f>
        <v>44926</v>
      </c>
    </row>
    <row r="37" spans="1:8" x14ac:dyDescent="0.25">
      <c r="A37" s="20" t="s">
        <v>15</v>
      </c>
      <c r="B37" s="69">
        <f>'Retail property data'!C13</f>
        <v>0.75353383625965242</v>
      </c>
      <c r="C37" s="69">
        <f>'Retail property data'!D13</f>
        <v>1.5206582804103566</v>
      </c>
      <c r="D37" s="69">
        <f>'Retail property data'!E13</f>
        <v>0.95891475400655235</v>
      </c>
      <c r="E37" s="69">
        <f>'Retail property data'!F13</f>
        <v>1.1668827819936638</v>
      </c>
      <c r="F37" s="69">
        <f>'Retail property data'!G13</f>
        <v>1.1393892786273339</v>
      </c>
      <c r="G37" s="69">
        <f>'Retail property data'!H13</f>
        <v>0.58262886146845194</v>
      </c>
      <c r="H37" s="69">
        <f>'Retail property data'!I13</f>
        <v>1.1686373992510373</v>
      </c>
    </row>
    <row r="38" spans="1:8" x14ac:dyDescent="0.25">
      <c r="A38" s="21" t="s">
        <v>18</v>
      </c>
      <c r="B38" s="75">
        <f>((('Retail property data'!C5*(1-$B$30))-'Retail property data'!C16)+'Retail property data'!C7+'Retail property data'!C9)/'Retail property data'!C12</f>
        <v>0.51961835458530836</v>
      </c>
      <c r="C38" s="75">
        <f>((('Retail property data'!D5*(1-$B$30))-'Retail property data'!D16)+'Retail property data'!D7+'Retail property data'!D9)/'Retail property data'!D12</f>
        <v>1.3496568148510015</v>
      </c>
      <c r="D38" s="75">
        <f>((('Retail property data'!E5*(1-$B$30))-'Retail property data'!E16)+'Retail property data'!E7+'Retail property data'!E9)/'Retail property data'!E12</f>
        <v>0.84556132957490571</v>
      </c>
      <c r="E38" s="75">
        <f>((('Retail property data'!F5*(1-$B$30))-'Retail property data'!F16)+'Retail property data'!F7+'Retail property data'!F9)/'Retail property data'!F12</f>
        <v>0.9905924752572508</v>
      </c>
      <c r="F38" s="75">
        <f>((('Retail property data'!G5*(1-$B$30))-'Retail property data'!G16)+'Retail property data'!G7+'Retail property data'!G9)/'Retail property data'!G12</f>
        <v>0.97696406045986683</v>
      </c>
      <c r="G38" s="75">
        <f>((('Retail property data'!H5*(1-$B$30))-'Retail property data'!H16)+'Retail property data'!H7+'Retail property data'!H9)/'Retail property data'!H12</f>
        <v>0.47700927627548795</v>
      </c>
      <c r="H38" s="75">
        <f>((('Retail property data'!I5*(1-$B$30))-'Retail property data'!I16)+'Retail property data'!I7+'Retail property data'!I9)/'Retail property data'!I12</f>
        <v>1.0236468244938322</v>
      </c>
    </row>
    <row r="39" spans="1:8" ht="15.75" thickBot="1" x14ac:dyDescent="0.3">
      <c r="A39" s="22" t="s">
        <v>19</v>
      </c>
      <c r="B39" s="71">
        <f>('Retail property data'!C8+'Retail property data'!C9)/(('Retail property data'!C9*$D$31)+'Retail property data'!C12)</f>
        <v>0.51173769157926263</v>
      </c>
      <c r="C39" s="71">
        <f>('Retail property data'!D8+'Retail property data'!D9)/(('Retail property data'!D9*$D$31)+'Retail property data'!D12)</f>
        <v>1.0228665549421661</v>
      </c>
      <c r="D39" s="71">
        <f>('Retail property data'!E8+'Retail property data'!E9)/(('Retail property data'!E9*$D$31)+'Retail property data'!E12)</f>
        <v>0.65681368619041947</v>
      </c>
      <c r="E39" s="71">
        <f>('Retail property data'!F8+'Retail property data'!F9)/(('Retail property data'!F9*$D$31)+'Retail property data'!F12)</f>
        <v>0.73663845441161702</v>
      </c>
      <c r="F39" s="71">
        <f>('Retail property data'!G8+'Retail property data'!G9)/(('Retail property data'!G9*$D$31)+'Retail property data'!G12)</f>
        <v>0.76146710970661746</v>
      </c>
      <c r="G39" s="71">
        <f>('Retail property data'!H8+'Retail property data'!H9)/(('Retail property data'!H9*$D$31)+'Retail property data'!H12)</f>
        <v>0.38236098157141479</v>
      </c>
      <c r="H39" s="71">
        <f>('Retail property data'!I8+'Retail property data'!I9)/(('Retail property data'!I9*$D$31)+'Retail property data'!I12)</f>
        <v>0.78011360759434323</v>
      </c>
    </row>
    <row r="40" spans="1:8" x14ac:dyDescent="0.25">
      <c r="A40" s="19" t="s">
        <v>24</v>
      </c>
      <c r="B40" s="72">
        <f>'Retail property data'!C21</f>
        <v>0.69005855562784646</v>
      </c>
      <c r="C40" s="72">
        <f>'Retail property data'!D21</f>
        <v>0.68128216783216788</v>
      </c>
      <c r="D40" s="72">
        <f>'Retail property data'!E21</f>
        <v>0.67449319838056676</v>
      </c>
      <c r="E40" s="72">
        <f>'Retail property data'!F21</f>
        <v>0.755</v>
      </c>
      <c r="F40" s="72">
        <f>'Retail property data'!G21</f>
        <v>0.8</v>
      </c>
      <c r="G40" s="72">
        <f>'Retail property data'!H21</f>
        <v>0.47130914127423823</v>
      </c>
      <c r="H40" s="72">
        <f>'Retail property data'!I21</f>
        <v>0.69209821986258591</v>
      </c>
    </row>
    <row r="41" spans="1:8" ht="15.75" thickBot="1" x14ac:dyDescent="0.3">
      <c r="A41" s="22" t="s">
        <v>21</v>
      </c>
      <c r="B41" s="73">
        <f>'Retail property data'!C19/('Retail property data'!C20*(1-$B$32))</f>
        <v>0.76673172847538495</v>
      </c>
      <c r="C41" s="73">
        <f>'Retail property data'!D19/('Retail property data'!D20*(1-$B$32))</f>
        <v>0.7569801864801865</v>
      </c>
      <c r="D41" s="73">
        <f>'Retail property data'!E19/('Retail property data'!E20*(1-$B$32))</f>
        <v>0.74943688708951872</v>
      </c>
      <c r="E41" s="73">
        <f>'Retail property data'!F19/('Retail property data'!F20*(1-$B$32))</f>
        <v>0.83888888888888891</v>
      </c>
      <c r="F41" s="73">
        <f>'Retail property data'!G19/('Retail property data'!G20*(1-$B$32))</f>
        <v>0.88888888888888884</v>
      </c>
      <c r="G41" s="73">
        <f>'Retail property data'!H19/('Retail property data'!H20*(1-$B$32))</f>
        <v>0.52367682363804247</v>
      </c>
      <c r="H41" s="73">
        <f>'Retail property data'!I19/('Retail property data'!I20*(1-$B$32))</f>
        <v>0.76899802206953982</v>
      </c>
    </row>
    <row r="43" spans="1:8" ht="15.75" thickBot="1" x14ac:dyDescent="0.3">
      <c r="A43" s="11" t="s">
        <v>49</v>
      </c>
    </row>
    <row r="44" spans="1:8" x14ac:dyDescent="0.25">
      <c r="A44" s="13" t="s">
        <v>17</v>
      </c>
      <c r="B44" s="16">
        <f>Summary!C116</f>
        <v>0.1</v>
      </c>
    </row>
    <row r="45" spans="1:8" x14ac:dyDescent="0.25">
      <c r="A45" s="14" t="s">
        <v>94</v>
      </c>
      <c r="B45" s="17">
        <f>Summary!C120</f>
        <v>0.04</v>
      </c>
      <c r="D45">
        <f>IF(B45=0.01,0.2,IF(B45=0.02,0.4,IF(B45=0.03,0.6,IF(B45=0.04,0.8,IF(B45=0.05,1)))))</f>
        <v>0.8</v>
      </c>
    </row>
    <row r="46" spans="1:8" ht="15.75" thickBot="1" x14ac:dyDescent="0.3">
      <c r="A46" s="15" t="s">
        <v>20</v>
      </c>
      <c r="B46" s="18">
        <f>Summary!C112</f>
        <v>0.1</v>
      </c>
    </row>
    <row r="47" spans="1:8" ht="15.75" thickBot="1" x14ac:dyDescent="0.3">
      <c r="A47" s="11"/>
    </row>
    <row r="48" spans="1:8" x14ac:dyDescent="0.25">
      <c r="A48" s="24" t="s">
        <v>22</v>
      </c>
      <c r="B48" s="37" t="str">
        <f>'Office property data'!C1</f>
        <v>John Doe</v>
      </c>
      <c r="C48" s="37">
        <f>'Office property data'!D1</f>
        <v>0</v>
      </c>
      <c r="D48" s="37">
        <f>'Office property data'!E1</f>
        <v>0</v>
      </c>
      <c r="E48" s="37">
        <f>'Office property data'!F1</f>
        <v>0</v>
      </c>
      <c r="F48" s="37">
        <f>'Office property data'!G1</f>
        <v>0</v>
      </c>
      <c r="G48" s="37">
        <f>'Office property data'!H1</f>
        <v>0</v>
      </c>
    </row>
    <row r="49" spans="1:7" ht="15.75" thickBot="1" x14ac:dyDescent="0.3">
      <c r="A49" s="25" t="s">
        <v>25</v>
      </c>
      <c r="B49" s="27" t="str">
        <f>'Office property data'!C2</f>
        <v>Bismarck, ND</v>
      </c>
      <c r="C49" s="27">
        <f>'Office property data'!D2</f>
        <v>0</v>
      </c>
      <c r="D49" s="27">
        <f>'Office property data'!E2</f>
        <v>0</v>
      </c>
      <c r="E49" s="27">
        <f>'Office property data'!F2</f>
        <v>0</v>
      </c>
      <c r="F49" s="27">
        <f>'Office property data'!G2</f>
        <v>0</v>
      </c>
      <c r="G49" s="27">
        <f>'Office property data'!H2</f>
        <v>0</v>
      </c>
    </row>
    <row r="50" spans="1:7" x14ac:dyDescent="0.25">
      <c r="A50" s="23" t="s">
        <v>16</v>
      </c>
      <c r="B50" s="29" t="str">
        <f>'Office property data'!C3</f>
        <v>12/31/2023 projected</v>
      </c>
      <c r="C50" s="29">
        <f>'Office property data'!D3</f>
        <v>44926</v>
      </c>
      <c r="D50" s="29">
        <f>'Office property data'!E3</f>
        <v>44926</v>
      </c>
      <c r="E50" s="29">
        <f>'Office property data'!F3</f>
        <v>44926</v>
      </c>
      <c r="F50" s="29">
        <f>'Office property data'!G3</f>
        <v>44926</v>
      </c>
      <c r="G50" s="29">
        <f>'Office property data'!H3</f>
        <v>44926</v>
      </c>
    </row>
    <row r="51" spans="1:7" x14ac:dyDescent="0.25">
      <c r="A51" s="20" t="s">
        <v>15</v>
      </c>
      <c r="B51" s="69">
        <f>'Office property data'!C13</f>
        <v>0.2918160745103664</v>
      </c>
      <c r="C51" s="69">
        <f>'Office property data'!D13</f>
        <v>1.2916053077446836</v>
      </c>
      <c r="D51" s="69">
        <f>'Office property data'!E13</f>
        <v>1.1167617376042123</v>
      </c>
      <c r="E51" s="69">
        <f>'Office property data'!F13</f>
        <v>1.276776923076923</v>
      </c>
      <c r="F51" s="69">
        <f>'Office property data'!G13</f>
        <v>1.2489037589029985</v>
      </c>
      <c r="G51" s="69">
        <f>'Office property data'!H13</f>
        <v>0.80785758133824437</v>
      </c>
    </row>
    <row r="52" spans="1:7" x14ac:dyDescent="0.25">
      <c r="A52" s="21" t="s">
        <v>18</v>
      </c>
      <c r="B52" s="75">
        <f>((('Office property data'!C5*(1-$B$44))-'Office property data'!C17)+'Office property data'!C7+'Office property data'!C9)/'Office property data'!C12</f>
        <v>0.22764689008055294</v>
      </c>
      <c r="C52" s="75">
        <f>((('Office property data'!D5*(1-$B$44))-'Office property data'!D17)+'Office property data'!D7+'Office property data'!D9)/'Office property data'!D12</f>
        <v>1.0842871676721613</v>
      </c>
      <c r="D52" s="75">
        <f>((('Office property data'!E5*(1-$B$44))-'Office property data'!E17)+'Office property data'!E7+'Office property data'!E9)/'Office property data'!E12</f>
        <v>0.97624469796694469</v>
      </c>
      <c r="E52" s="75">
        <f>((('Office property data'!F5*(1-$B$44))-'Office property data'!F17)+'Office property data'!F7+'Office property data'!F9)/'Office property data'!F12</f>
        <v>1.0844692307692307</v>
      </c>
      <c r="F52" s="75">
        <f>((('Office property data'!G5*(1-$B$44))-'Office property data'!G17)+'Office property data'!G7+'Office property data'!G9)/'Office property data'!G12</f>
        <v>1.0910051200162219</v>
      </c>
      <c r="G52" s="75">
        <f>((('Office property data'!H5*(1-$B$44))-'Office property data'!H17)+'Office property data'!H7+'Office property data'!H9)/'Office property data'!H12</f>
        <v>0.67636203192142419</v>
      </c>
    </row>
    <row r="53" spans="1:7" ht="15.75" thickBot="1" x14ac:dyDescent="0.3">
      <c r="A53" s="22" t="s">
        <v>19</v>
      </c>
      <c r="B53" s="71">
        <f>('Office property data'!C8+'Office property data'!C9)/(('Office property data'!C9*$D$45)+'Office property data'!C12)</f>
        <v>0.16212004139464797</v>
      </c>
      <c r="C53" s="71">
        <f>('Office property data'!D8+'Office property data'!D9)/(('Office property data'!D9*$D$45)+'Office property data'!D12)</f>
        <v>0.85324745287558312</v>
      </c>
      <c r="D53" s="71">
        <f>('Office property data'!E8+'Office property data'!E9)/(('Office property data'!E9*$D$45)+'Office property data'!E12)</f>
        <v>0.6827400092280288</v>
      </c>
      <c r="E53" s="71">
        <f>('Office property data'!F8+'Office property data'!F9)/(('Office property data'!F9*$D$45)+'Office property data'!F12)</f>
        <v>0.89823946558374934</v>
      </c>
      <c r="F53" s="71">
        <f>('Office property data'!G8+'Office property data'!G9)/(('Office property data'!G9*$D$45)+'Office property data'!G12)</f>
        <v>0.81638908587220893</v>
      </c>
      <c r="G53" s="71">
        <f>('Office property data'!H8+'Office property data'!H9)/(('Office property data'!H9*$D$45)+'Office property data'!H12)</f>
        <v>0.53535978129983408</v>
      </c>
    </row>
    <row r="54" spans="1:7" x14ac:dyDescent="0.25">
      <c r="A54" s="19" t="s">
        <v>24</v>
      </c>
      <c r="B54" s="72">
        <f>'Office property data'!C22</f>
        <v>0.75</v>
      </c>
      <c r="C54" s="72">
        <f>'Office property data'!D22</f>
        <v>0.7</v>
      </c>
      <c r="D54" s="72">
        <f>'Office property data'!E22</f>
        <v>1.0099758139534885</v>
      </c>
      <c r="E54" s="72">
        <f>'Office property data'!F22</f>
        <v>0.63565999384046812</v>
      </c>
      <c r="F54" s="72">
        <f>'Office property data'!G22</f>
        <v>0.70145985401459854</v>
      </c>
      <c r="G54" s="72">
        <f>'Office property data'!H22</f>
        <v>0.65875322939866365</v>
      </c>
    </row>
    <row r="55" spans="1:7" ht="15.75" thickBot="1" x14ac:dyDescent="0.3">
      <c r="A55" s="22" t="s">
        <v>21</v>
      </c>
      <c r="B55" s="73">
        <f>'Office property data'!C20/('Office property data'!C21*(1-$B$46))</f>
        <v>0.83333333333333337</v>
      </c>
      <c r="C55" s="73">
        <f>'Office property data'!D20/('Office property data'!D21*(1-$B$46))</f>
        <v>0.77777777777777779</v>
      </c>
      <c r="D55" s="73">
        <f>'Office property data'!E20/('Office property data'!E21*(1-$B$46))</f>
        <v>1.1221953488372094</v>
      </c>
      <c r="E55" s="73">
        <f>'Office property data'!F20/('Office property data'!F21*(1-$B$46))</f>
        <v>0.70628888204496454</v>
      </c>
      <c r="F55" s="73">
        <f>'Office property data'!G20/('Office property data'!G21*(1-$B$46))</f>
        <v>0.77939983779399835</v>
      </c>
      <c r="G55" s="73">
        <f>'Office property data'!H20/('Office property data'!H21*(1-$B$46))</f>
        <v>0.73194803266518194</v>
      </c>
    </row>
    <row r="57" spans="1:7" ht="15.75" thickBot="1" x14ac:dyDescent="0.3">
      <c r="A57" s="11" t="s">
        <v>50</v>
      </c>
    </row>
    <row r="58" spans="1:7" x14ac:dyDescent="0.25">
      <c r="A58" s="13" t="s">
        <v>17</v>
      </c>
      <c r="B58" s="16">
        <f>Summary!C148</f>
        <v>0.1</v>
      </c>
    </row>
    <row r="59" spans="1:7" x14ac:dyDescent="0.25">
      <c r="A59" s="14" t="s">
        <v>94</v>
      </c>
      <c r="B59" s="17">
        <f>Summary!C152</f>
        <v>0.04</v>
      </c>
      <c r="D59">
        <f>IF(B59=0.01,0.2,IF(B59=0.02,0.4,IF(B59=0.03,0.6,IF(B59=0.04,0.8,IF(B59=0.05,1)))))</f>
        <v>0.8</v>
      </c>
    </row>
    <row r="60" spans="1:7" ht="15.75" thickBot="1" x14ac:dyDescent="0.3">
      <c r="A60" s="15" t="s">
        <v>20</v>
      </c>
      <c r="B60" s="18">
        <f>Summary!C144</f>
        <v>0.1</v>
      </c>
    </row>
    <row r="61" spans="1:7" ht="15.75" thickBot="1" x14ac:dyDescent="0.3">
      <c r="A61" s="11"/>
    </row>
    <row r="62" spans="1:7" x14ac:dyDescent="0.25">
      <c r="A62" s="24" t="s">
        <v>22</v>
      </c>
      <c r="B62" s="37" t="str">
        <f>'Oil related CRE data'!C1</f>
        <v>John Doe</v>
      </c>
      <c r="C62" s="37">
        <f>'Oil related CRE data'!D1</f>
        <v>0</v>
      </c>
      <c r="D62" s="37">
        <f>'Oil related CRE data'!E1</f>
        <v>0</v>
      </c>
      <c r="E62" s="37">
        <f>'Oil related CRE data'!F1</f>
        <v>0</v>
      </c>
      <c r="F62" s="37">
        <f>'Oil related CRE data'!G1</f>
        <v>0</v>
      </c>
      <c r="G62" s="37">
        <f>'Oil related CRE data'!H1</f>
        <v>0</v>
      </c>
    </row>
    <row r="63" spans="1:7" ht="15.75" thickBot="1" x14ac:dyDescent="0.3">
      <c r="A63" s="25" t="s">
        <v>25</v>
      </c>
      <c r="B63" s="38" t="str">
        <f>'Oil related CRE data'!C2</f>
        <v>Williston, ND</v>
      </c>
      <c r="C63" s="38">
        <f>'Oil related CRE data'!D2</f>
        <v>0</v>
      </c>
      <c r="D63" s="38">
        <f>'Oil related CRE data'!E2</f>
        <v>0</v>
      </c>
      <c r="E63" s="38">
        <f>'Oil related CRE data'!F2</f>
        <v>0</v>
      </c>
      <c r="F63" s="38">
        <f>'Oil related CRE data'!G2</f>
        <v>0</v>
      </c>
      <c r="G63" s="38">
        <f>'Oil related CRE data'!H2</f>
        <v>0</v>
      </c>
    </row>
    <row r="64" spans="1:7" x14ac:dyDescent="0.25">
      <c r="A64" s="23" t="s">
        <v>16</v>
      </c>
      <c r="B64" s="29">
        <f>'Oil related CRE data'!C3</f>
        <v>44926</v>
      </c>
      <c r="C64" s="29">
        <f>'Oil related CRE data'!D3</f>
        <v>44926</v>
      </c>
      <c r="D64" s="29">
        <f>'Oil related CRE data'!E3</f>
        <v>44926</v>
      </c>
      <c r="E64" s="29">
        <f>'Oil related CRE data'!F3</f>
        <v>44926</v>
      </c>
      <c r="F64" s="29">
        <f>'Oil related CRE data'!G3</f>
        <v>44926</v>
      </c>
      <c r="G64" s="29">
        <f>'Oil related CRE data'!H3</f>
        <v>44926</v>
      </c>
    </row>
    <row r="65" spans="1:21" x14ac:dyDescent="0.25">
      <c r="A65" s="20" t="s">
        <v>15</v>
      </c>
      <c r="B65" s="69">
        <f>'Oil related CRE data'!C13</f>
        <v>1.6954493200273946</v>
      </c>
      <c r="C65" s="69">
        <f>'Oil related CRE data'!D13</f>
        <v>1.2175241077019412</v>
      </c>
      <c r="D65" s="69">
        <f>'Oil related CRE data'!E13</f>
        <v>0.9707602339181286</v>
      </c>
      <c r="E65" s="69">
        <f>'Oil related CRE data'!F13</f>
        <v>1.1731536926147705</v>
      </c>
      <c r="F65" s="69">
        <f>'Oil related CRE data'!G13</f>
        <v>0.98403262289337023</v>
      </c>
      <c r="G65" s="69">
        <f>'Oil related CRE data'!H13</f>
        <v>0.76549900530878334</v>
      </c>
    </row>
    <row r="66" spans="1:21" x14ac:dyDescent="0.25">
      <c r="A66" s="21" t="s">
        <v>18</v>
      </c>
      <c r="B66" s="75">
        <f>((('Oil related CRE data'!C5*(1-$B$58))-'Oil related CRE data'!C16)+'Oil related CRE data'!C7+'Oil related CRE data'!C9)/'Oil related CRE data'!C12</f>
        <v>1.4351720722042853</v>
      </c>
      <c r="C66" s="75">
        <f>((('Oil related CRE data'!D5*(1-$B$58))-'Oil related CRE data'!D16)+'Oil related CRE data'!D7+'Oil related CRE data'!D9)/'Oil related CRE data'!D12</f>
        <v>1.076218785222292</v>
      </c>
      <c r="D66" s="75">
        <f>((('Oil related CRE data'!E5*(1-$B$58))-'Oil related CRE data'!E16)+'Oil related CRE data'!E7+'Oil related CRE data'!E9)/'Oil related CRE data'!E12</f>
        <v>0.85477582846003897</v>
      </c>
      <c r="E66" s="75">
        <f>((('Oil related CRE data'!F5*(1-$B$58))-'Oil related CRE data'!F16)+'Oil related CRE data'!F7+'Oil related CRE data'!F9)/'Oil related CRE data'!F12</f>
        <v>0.99366267465069857</v>
      </c>
      <c r="F66" s="75">
        <f>((('Oil related CRE data'!G5*(1-$B$58))-'Oil related CRE data'!G16)+'Oil related CRE data'!G7+'Oil related CRE data'!G9)/'Oil related CRE data'!G12</f>
        <v>0.84475692121443813</v>
      </c>
      <c r="G66" s="75">
        <f>((('Oil related CRE data'!H5*(1-$B$58))-'Oil related CRE data'!H16)+'Oil related CRE data'!H7+'Oil related CRE data'!H9)/'Oil related CRE data'!H12</f>
        <v>0.64458519908501954</v>
      </c>
    </row>
    <row r="67" spans="1:21" ht="15.75" thickBot="1" x14ac:dyDescent="0.3">
      <c r="A67" s="22" t="s">
        <v>19</v>
      </c>
      <c r="B67" s="71">
        <f>('Oil related CRE data'!C8+'Oil related CRE data'!C9)/(('Oil related CRE data'!C9*$D$59)+'Oil related CRE data'!C12)</f>
        <v>1.0142925080479954</v>
      </c>
      <c r="C67" s="71">
        <f>('Oil related CRE data'!D8+'Oil related CRE data'!D9)/(('Oil related CRE data'!D9*$D$59)+'Oil related CRE data'!D12)</f>
        <v>0.90380597836353593</v>
      </c>
      <c r="D67" s="71">
        <f>('Oil related CRE data'!E8+'Oil related CRE data'!E9)/(('Oil related CRE data'!E9*$D$59)+'Oil related CRE data'!E12)</f>
        <v>0.66153028692879912</v>
      </c>
      <c r="E67" s="71">
        <f>('Oil related CRE data'!F8+'Oil related CRE data'!F9)/(('Oil related CRE data'!F9*$D$59)+'Oil related CRE data'!F12)</f>
        <v>0.80425561029009307</v>
      </c>
      <c r="F67" s="71">
        <f>('Oil related CRE data'!G8+'Oil related CRE data'!G9)/(('Oil related CRE data'!G9*$D$59)+'Oil related CRE data'!G12)</f>
        <v>0.74628041267003309</v>
      </c>
      <c r="G67" s="71">
        <f>('Oil related CRE data'!H8+'Oil related CRE data'!H9)/(('Oil related CRE data'!H9*$D$59)+'Oil related CRE data'!H12)</f>
        <v>0.52822694116022884</v>
      </c>
    </row>
    <row r="68" spans="1:21" x14ac:dyDescent="0.25">
      <c r="A68" s="19" t="s">
        <v>24</v>
      </c>
      <c r="B68" s="72">
        <f>'Oil related CRE data'!C21</f>
        <v>0.77859961538461542</v>
      </c>
      <c r="C68" s="72">
        <f>'Oil related CRE data'!D21</f>
        <v>0.48581412039113664</v>
      </c>
      <c r="D68" s="72">
        <f>'Oil related CRE data'!E21</f>
        <v>1.1504124700239808</v>
      </c>
      <c r="E68" s="72">
        <f>'Oil related CRE data'!F21</f>
        <v>0.69050480769230771</v>
      </c>
      <c r="F68" s="72">
        <f>'Oil related CRE data'!G21</f>
        <v>0.72992700729927007</v>
      </c>
      <c r="G68" s="72">
        <f>'Oil related CRE data'!H21</f>
        <v>0.63485817875777895</v>
      </c>
    </row>
    <row r="69" spans="1:21" ht="15.75" thickBot="1" x14ac:dyDescent="0.3">
      <c r="A69" s="22" t="s">
        <v>21</v>
      </c>
      <c r="B69" s="73">
        <f>'Oil related CRE data'!C19/('Oil related CRE data'!C20*(1-$B$60))</f>
        <v>0.86511068376068379</v>
      </c>
      <c r="C69" s="73">
        <f>'Oil related CRE data'!D19/('Oil related CRE data'!D20*(1-$B$60))</f>
        <v>0.53979346710126297</v>
      </c>
      <c r="D69" s="73">
        <f>'Oil related CRE data'!E19/('Oil related CRE data'!E20*(1-$B$60))</f>
        <v>1.2782360778044231</v>
      </c>
      <c r="E69" s="73">
        <f>'Oil related CRE data'!F19/('Oil related CRE data'!F20*(1-$B$60))</f>
        <v>0.7672275641025641</v>
      </c>
      <c r="F69" s="73">
        <f>'Oil related CRE data'!G19/('Oil related CRE data'!G20*(1-$B$60))</f>
        <v>0.81103000811030013</v>
      </c>
      <c r="G69" s="73">
        <f>'Oil related CRE data'!H19/('Oil related CRE data'!H20*(1-$B$60))</f>
        <v>0.70539797639753221</v>
      </c>
    </row>
    <row r="75" spans="1:21" ht="15.75" thickBot="1" x14ac:dyDescent="0.3">
      <c r="A75" s="11" t="s">
        <v>23</v>
      </c>
    </row>
    <row r="76" spans="1:21" x14ac:dyDescent="0.25">
      <c r="A76" s="13" t="s">
        <v>42</v>
      </c>
      <c r="B76" s="16">
        <f>Summary!C173</f>
        <v>0.2</v>
      </c>
    </row>
    <row r="77" spans="1:21" x14ac:dyDescent="0.25">
      <c r="A77" s="14" t="s">
        <v>41</v>
      </c>
      <c r="B77" s="17">
        <f>Summary!C177</f>
        <v>0.2</v>
      </c>
    </row>
    <row r="78" spans="1:21" x14ac:dyDescent="0.25">
      <c r="A78" s="14" t="s">
        <v>93</v>
      </c>
      <c r="B78" s="17">
        <f>Summary!C181</f>
        <v>0.05</v>
      </c>
      <c r="D78">
        <f>IF(B78=0.01,0.2,IF(B78=0.02,0.4,IF(B78=0.03,0.6,IF(B78=0.04,0.8,IF(B78=0.05,1)))))</f>
        <v>1</v>
      </c>
    </row>
    <row r="79" spans="1:21" ht="15.75" thickBot="1" x14ac:dyDescent="0.3">
      <c r="A79" s="11"/>
    </row>
    <row r="80" spans="1:21" x14ac:dyDescent="0.25">
      <c r="A80" s="24" t="s">
        <v>22</v>
      </c>
      <c r="B80" s="26" t="str">
        <f>'Farm data'!C1</f>
        <v>John Doe</v>
      </c>
      <c r="C80" s="26">
        <f>'Farm data'!D1</f>
        <v>0</v>
      </c>
      <c r="D80" s="26">
        <f>'Farm data'!E1</f>
        <v>0</v>
      </c>
      <c r="E80" s="26">
        <f>'Farm data'!F1</f>
        <v>0</v>
      </c>
      <c r="F80" s="26">
        <f>'Farm data'!G1</f>
        <v>0</v>
      </c>
      <c r="G80" s="26">
        <f>'Farm data'!H1</f>
        <v>0</v>
      </c>
      <c r="H80" s="26">
        <f>'Farm data'!I1</f>
        <v>0</v>
      </c>
      <c r="I80" s="26">
        <f>'Farm data'!J1</f>
        <v>0</v>
      </c>
      <c r="J80" s="26">
        <f>'Farm data'!K1</f>
        <v>0</v>
      </c>
      <c r="K80" s="26">
        <f>'Farm data'!L1</f>
        <v>0</v>
      </c>
      <c r="L80" s="26">
        <f>'Farm data'!M1</f>
        <v>0</v>
      </c>
      <c r="M80" s="26">
        <f>'Farm data'!N1</f>
        <v>0</v>
      </c>
      <c r="N80" s="26">
        <f>'Farm data'!O1</f>
        <v>0</v>
      </c>
      <c r="O80" s="26">
        <f>'Farm data'!P1</f>
        <v>0</v>
      </c>
      <c r="P80" s="26">
        <f>'Farm data'!Q1</f>
        <v>0</v>
      </c>
      <c r="Q80" s="26">
        <f>'Farm data'!R1</f>
        <v>0</v>
      </c>
      <c r="R80" s="26">
        <f>'Farm data'!S1</f>
        <v>0</v>
      </c>
      <c r="S80" s="26">
        <f>'Farm data'!T1</f>
        <v>0</v>
      </c>
      <c r="T80" s="26">
        <f>'Farm data'!U1</f>
        <v>0</v>
      </c>
      <c r="U80" s="26">
        <f>'Farm data'!V1</f>
        <v>0</v>
      </c>
    </row>
    <row r="81" spans="1:21" ht="15.75" thickBot="1" x14ac:dyDescent="0.3">
      <c r="A81" s="25" t="s">
        <v>25</v>
      </c>
      <c r="B81" s="27" t="str">
        <f>'Farm data'!C2</f>
        <v>Bismarck, ND</v>
      </c>
      <c r="C81" s="27">
        <f>'Farm data'!D2</f>
        <v>0</v>
      </c>
      <c r="D81" s="27">
        <f>'Farm data'!E2</f>
        <v>0</v>
      </c>
      <c r="E81" s="27">
        <f>'Farm data'!F2</f>
        <v>0</v>
      </c>
      <c r="F81" s="27">
        <f>'Farm data'!G2</f>
        <v>0</v>
      </c>
      <c r="G81" s="27">
        <f>'Farm data'!H2</f>
        <v>0</v>
      </c>
      <c r="H81" s="27">
        <f>'Farm data'!I2</f>
        <v>0</v>
      </c>
      <c r="I81" s="27">
        <f>'Farm data'!J2</f>
        <v>0</v>
      </c>
      <c r="J81" s="27">
        <f>'Farm data'!K2</f>
        <v>0</v>
      </c>
      <c r="K81" s="27">
        <f>'Farm data'!L2</f>
        <v>0</v>
      </c>
      <c r="L81" s="27">
        <f>'Farm data'!M2</f>
        <v>0</v>
      </c>
      <c r="M81" s="27">
        <f>'Farm data'!N2</f>
        <v>0</v>
      </c>
      <c r="N81" s="27">
        <f>'Farm data'!O2</f>
        <v>0</v>
      </c>
      <c r="O81" s="27">
        <f>'Farm data'!P2</f>
        <v>0</v>
      </c>
      <c r="P81" s="27">
        <f>'Farm data'!Q2</f>
        <v>0</v>
      </c>
      <c r="Q81" s="27">
        <f>'Farm data'!R2</f>
        <v>0</v>
      </c>
      <c r="R81" s="27">
        <f>'Farm data'!S2</f>
        <v>0</v>
      </c>
      <c r="S81" s="27">
        <f>'Farm data'!T2</f>
        <v>0</v>
      </c>
      <c r="T81" s="27">
        <f>'Farm data'!U2</f>
        <v>0</v>
      </c>
      <c r="U81" s="27">
        <f>'Farm data'!V2</f>
        <v>0</v>
      </c>
    </row>
    <row r="82" spans="1:21" x14ac:dyDescent="0.25">
      <c r="A82" s="23" t="s">
        <v>16</v>
      </c>
      <c r="B82" s="28" t="str">
        <f>'Farm data'!C3</f>
        <v>2023 Projections</v>
      </c>
      <c r="C82" s="28" t="str">
        <f>'Farm data'!D3</f>
        <v>2023 projections</v>
      </c>
      <c r="D82" s="28" t="str">
        <f>'Farm data'!E3</f>
        <v>2023 projections</v>
      </c>
      <c r="E82" s="28" t="str">
        <f>'Farm data'!F3</f>
        <v>2023 projections</v>
      </c>
      <c r="F82" s="28" t="str">
        <f>'Farm data'!G3</f>
        <v>2023 projections</v>
      </c>
      <c r="G82" s="28" t="str">
        <f>'Farm data'!H3</f>
        <v>2023 projections</v>
      </c>
      <c r="H82" s="28" t="str">
        <f>'Farm data'!I3</f>
        <v>2023 projections</v>
      </c>
      <c r="I82" s="28" t="str">
        <f>'Farm data'!J3</f>
        <v>2023 projections</v>
      </c>
      <c r="J82" s="28" t="str">
        <f>'Farm data'!K3</f>
        <v>2023 projections</v>
      </c>
      <c r="K82" s="28" t="str">
        <f>'Farm data'!L3</f>
        <v>2023 projections</v>
      </c>
      <c r="L82" s="28" t="str">
        <f>'Farm data'!M3</f>
        <v>2023 projections</v>
      </c>
      <c r="M82" s="28" t="str">
        <f>'Farm data'!N3</f>
        <v>2023 projections</v>
      </c>
      <c r="N82" s="28" t="str">
        <f>'Farm data'!O3</f>
        <v>2023 projections</v>
      </c>
      <c r="O82" s="28" t="str">
        <f>'Farm data'!P3</f>
        <v>2023 projections</v>
      </c>
      <c r="P82" s="28" t="str">
        <f>'Farm data'!Q3</f>
        <v>2023 projections</v>
      </c>
      <c r="Q82" s="28" t="str">
        <f>'Farm data'!R3</f>
        <v>2023 projections</v>
      </c>
      <c r="R82" s="28" t="str">
        <f>'Farm data'!S3</f>
        <v>2023 projections</v>
      </c>
      <c r="S82" s="28" t="str">
        <f>'Farm data'!T3</f>
        <v>2023 projections</v>
      </c>
      <c r="T82" s="28" t="str">
        <f>'Farm data'!U3</f>
        <v>2023 projections</v>
      </c>
      <c r="U82" s="28" t="str">
        <f>'Farm data'!V3</f>
        <v>2023 projections</v>
      </c>
    </row>
    <row r="83" spans="1:21" x14ac:dyDescent="0.25">
      <c r="A83" s="20" t="s">
        <v>40</v>
      </c>
      <c r="B83" s="69">
        <f>'Farm data'!C15</f>
        <v>11.953229426433916</v>
      </c>
      <c r="C83" s="69">
        <f>'Farm data'!D15</f>
        <v>1.1758063660477454</v>
      </c>
      <c r="D83" s="69">
        <f>'Farm data'!E15</f>
        <v>1.8541743902439025</v>
      </c>
      <c r="E83" s="69">
        <f>'Farm data'!F15</f>
        <v>0.69231203007518793</v>
      </c>
      <c r="F83" s="69">
        <f>'Farm data'!G15</f>
        <v>22.363184079601989</v>
      </c>
      <c r="G83" s="69">
        <f>'Farm data'!H15</f>
        <v>12.532378181818181</v>
      </c>
      <c r="H83" s="69">
        <f>'Farm data'!I15</f>
        <v>1.2250000000000001</v>
      </c>
      <c r="I83" s="69">
        <f>'Farm data'!J15</f>
        <v>1.1103448275862069</v>
      </c>
      <c r="J83" s="69">
        <f>'Farm data'!K15</f>
        <v>1.3496569105691056</v>
      </c>
      <c r="K83" s="69">
        <f>'Farm data'!L15</f>
        <v>1.2638190476190476</v>
      </c>
      <c r="L83" s="69">
        <f>'Farm data'!M15</f>
        <v>1.5491368078175896</v>
      </c>
      <c r="M83" s="69">
        <f>'Farm data'!N15</f>
        <v>1.6444533333333333</v>
      </c>
      <c r="N83" s="69">
        <f>'Farm data'!O15</f>
        <v>3.9935313557955827</v>
      </c>
      <c r="O83" s="69">
        <f>'Farm data'!P15</f>
        <v>2.5660799307459241</v>
      </c>
      <c r="P83" s="69">
        <f>'Farm data'!Q15</f>
        <v>1.6164475974930361</v>
      </c>
      <c r="Q83" s="69">
        <f>'Farm data'!R15</f>
        <v>1.3005621161426826</v>
      </c>
      <c r="R83" s="69">
        <f>'Farm data'!S15</f>
        <v>1.0814480604046428</v>
      </c>
      <c r="S83" s="69">
        <f>'Farm data'!T15</f>
        <v>0.89927477232977504</v>
      </c>
      <c r="T83" s="69">
        <f>'Farm data'!U15</f>
        <v>1.0080407241764358</v>
      </c>
      <c r="U83" s="69">
        <f>'Farm data'!V15</f>
        <v>0.67027488066557928</v>
      </c>
    </row>
    <row r="84" spans="1:21" x14ac:dyDescent="0.25">
      <c r="A84" s="21" t="s">
        <v>18</v>
      </c>
      <c r="B84" s="70">
        <f>('Farm data'!C4*(1-'Stress Testing Calculations'!$B$76)-'Farm data'!C5+'Farm data'!C8+'Farm data'!C9+'Farm data'!C10-'Farm data'!C11)/'Farm data'!C13</f>
        <v>5.755810473815461</v>
      </c>
      <c r="C84" s="70">
        <f>('Farm data'!D4*(1-'Stress Testing Calculations'!$B$76)-'Farm data'!D5+'Farm data'!D8+'Farm data'!D9+'Farm data'!D10-'Farm data'!D11)/'Farm data'!D13</f>
        <v>0.82080424403183028</v>
      </c>
      <c r="D84" s="70">
        <f>('Farm data'!E4*(1-'Stress Testing Calculations'!$B$76)-'Farm data'!E5+'Farm data'!E8+'Farm data'!E9+'Farm data'!E10-'Farm data'!E11)/'Farm data'!E13</f>
        <v>-2.1227804878048553E-2</v>
      </c>
      <c r="E84" s="70">
        <f>('Farm data'!F4*(1-'Stress Testing Calculations'!$B$76)-'Farm data'!F5+'Farm data'!F8+'Farm data'!F9+'Farm data'!F10-'Farm data'!F11)/'Farm data'!F13</f>
        <v>-0.32761278195488724</v>
      </c>
      <c r="F84" s="70">
        <f>('Farm data'!G4*(1-'Stress Testing Calculations'!$B$76)-'Farm data'!G5+'Farm data'!G8+'Farm data'!G9+'Farm data'!G10-'Farm data'!G11)/'Farm data'!G13</f>
        <v>-10.741293532338309</v>
      </c>
      <c r="G84" s="70">
        <f>('Farm data'!H4*(1-'Stress Testing Calculations'!$B$76)-'Farm data'!H5+'Farm data'!H8+'Farm data'!H9+'Farm data'!H10-'Farm data'!H11)/'Farm data'!H13</f>
        <v>9.2123781818181811</v>
      </c>
      <c r="H84" s="70">
        <f>('Farm data'!I4*(1-'Stress Testing Calculations'!$B$76)-'Farm data'!I5+'Farm data'!I8+'Farm data'!I9+'Farm data'!I10-'Farm data'!I11)/'Farm data'!I13</f>
        <v>-0.23382352941176471</v>
      </c>
      <c r="I84" s="70">
        <f>('Farm data'!J4*(1-'Stress Testing Calculations'!$B$76)-'Farm data'!J5+'Farm data'!J8+'Farm data'!J9+'Farm data'!J10-'Farm data'!J11)/'Farm data'!J13</f>
        <v>0.69793103448275862</v>
      </c>
      <c r="J84" s="70">
        <f>('Farm data'!K4*(1-'Stress Testing Calculations'!$B$76)-'Farm data'!K5+'Farm data'!K8+'Farm data'!K9+'Farm data'!K10-'Farm data'!K11)/'Farm data'!K13</f>
        <v>0.51554471544715452</v>
      </c>
      <c r="K84" s="70">
        <f>('Farm data'!L4*(1-'Stress Testing Calculations'!$B$76)-'Farm data'!L5+'Farm data'!L8+'Farm data'!L9+'Farm data'!L10-'Farm data'!L11)/'Farm data'!L13</f>
        <v>-1.4742761904761905</v>
      </c>
      <c r="L84" s="70">
        <f>('Farm data'!M4*(1-'Stress Testing Calculations'!$B$76)-'Farm data'!M5+'Farm data'!M8+'Farm data'!M9+'Farm data'!M10-'Farm data'!M11)/'Farm data'!M13</f>
        <v>0.3389941368078182</v>
      </c>
      <c r="M84" s="70">
        <f>('Farm data'!N4*(1-'Stress Testing Calculations'!$B$76)-'Farm data'!N5+'Farm data'!N8+'Farm data'!N9+'Farm data'!N10-'Farm data'!N11)/'Farm data'!N13</f>
        <v>-1.0122046666666664</v>
      </c>
      <c r="N84" s="70">
        <f>('Farm data'!O4*(1-'Stress Testing Calculations'!$B$76)-'Farm data'!O5+'Farm data'!O8+'Farm data'!O9+'Farm data'!O10-'Farm data'!O11)/'Farm data'!O13</f>
        <v>1.8139408350798001</v>
      </c>
      <c r="O84" s="70">
        <f>('Farm data'!P4*(1-'Stress Testing Calculations'!$B$76)-'Farm data'!P5+'Farm data'!P8+'Farm data'!P9+'Farm data'!P10-'Farm data'!P11)/'Farm data'!P13</f>
        <v>0.99718655316693117</v>
      </c>
      <c r="P84" s="70">
        <f>('Farm data'!Q4*(1-'Stress Testing Calculations'!$B$76)-'Farm data'!Q5+'Farm data'!Q8+'Farm data'!Q9+'Farm data'!Q10-'Farm data'!Q11)/'Farm data'!Q13</f>
        <v>0.48121953342618384</v>
      </c>
      <c r="Q84" s="70">
        <f>('Farm data'!R4*(1-'Stress Testing Calculations'!$B$76)-'Farm data'!R5+'Farm data'!R8+'Farm data'!R9+'Farm data'!R10-'Farm data'!R11)/'Farm data'!R13</f>
        <v>0.67732014592350365</v>
      </c>
      <c r="R84" s="70">
        <f>('Farm data'!S4*(1-'Stress Testing Calculations'!$B$76)-'Farm data'!S5+'Farm data'!S8+'Farm data'!S9+'Farm data'!S10-'Farm data'!S11)/'Farm data'!S13</f>
        <v>0.16747438661912861</v>
      </c>
      <c r="S84" s="70">
        <f>('Farm data'!T4*(1-'Stress Testing Calculations'!$B$76)-'Farm data'!T5+'Farm data'!T8+'Farm data'!T9+'Farm data'!T10-'Farm data'!T11)/'Farm data'!T13</f>
        <v>0.55542714552801409</v>
      </c>
      <c r="T84" s="70">
        <f>('Farm data'!U4*(1-'Stress Testing Calculations'!$B$76)-'Farm data'!U5+'Farm data'!U8+'Farm data'!U9+'Farm data'!U10-'Farm data'!U11)/'Farm data'!U13</f>
        <v>0.25263862406012427</v>
      </c>
      <c r="U84" s="70">
        <f>('Farm data'!V4*(1-'Stress Testing Calculations'!$B$76)-'Farm data'!V5+'Farm data'!V8+'Farm data'!V9+'Farm data'!V10-'Farm data'!V11)/'Farm data'!V13</f>
        <v>-0.46050307501234439</v>
      </c>
    </row>
    <row r="85" spans="1:21" x14ac:dyDescent="0.25">
      <c r="A85" s="21" t="s">
        <v>43</v>
      </c>
      <c r="B85" s="70">
        <f>('Farm data'!C4-('Farm data'!C5*(1+'Stress Testing Calculations'!$B$77))+'Farm data'!C8+'Farm data'!C9+'Farm data'!C10-'Farm data'!C11)/'Farm data'!C13</f>
        <v>8.4881022443890277</v>
      </c>
      <c r="C85" s="70">
        <f>('Farm data'!D4-('Farm data'!D5*(1+'Stress Testing Calculations'!$B$77))+'Farm data'!D8+'Farm data'!D9+'Farm data'!D10-'Farm data'!D11)/'Farm data'!D13</f>
        <v>1.0350668435013262</v>
      </c>
      <c r="D85" s="70">
        <f>('Farm data'!E4-('Farm data'!E5*(1+'Stress Testing Calculations'!$B$77))+'Farm data'!E8+'Farm data'!E9+'Farm data'!E10-'Farm data'!E11)/'Farm data'!E13</f>
        <v>0.18222682926829267</v>
      </c>
      <c r="E85" s="70">
        <f>('Farm data'!F4-('Farm data'!F5*(1+'Stress Testing Calculations'!$B$77))+'Farm data'!F8+'Farm data'!F9+'Farm data'!F10-'Farm data'!F11)/'Farm data'!F13</f>
        <v>-0.1703533834586464</v>
      </c>
      <c r="F85" s="70">
        <f>('Farm data'!G4-('Farm data'!G5*(1+'Stress Testing Calculations'!$B$77))+'Farm data'!G8+'Farm data'!G9+'Farm data'!G10-'Farm data'!G11)/'Farm data'!G13</f>
        <v>-3.8308457711442787</v>
      </c>
      <c r="G85" s="70">
        <f>('Farm data'!H4-('Farm data'!H5*(1+'Stress Testing Calculations'!$B$77))+'Farm data'!H8+'Farm data'!H9+'Farm data'!H10-'Farm data'!H11)/'Farm data'!H13</f>
        <v>11.795217454545455</v>
      </c>
      <c r="H85" s="70">
        <f>('Farm data'!I4-('Farm data'!I5*(1+'Stress Testing Calculations'!$B$77))+'Farm data'!I8+'Farm data'!I9+'Farm data'!I10-'Farm data'!I11)/'Farm data'!I13</f>
        <v>-3.6764705882352942E-2</v>
      </c>
      <c r="I85" s="70">
        <f>('Farm data'!J4-('Farm data'!J5*(1+'Stress Testing Calculations'!$B$77))+'Farm data'!J8+'Farm data'!J9+'Farm data'!J10-'Farm data'!J11)/'Farm data'!J13</f>
        <v>0.87862068965517237</v>
      </c>
      <c r="J85" s="70">
        <f>('Farm data'!K4-('Farm data'!K5*(1+'Stress Testing Calculations'!$B$77))+'Farm data'!K8+'Farm data'!K9+'Farm data'!K10-'Farm data'!K11)/'Farm data'!K13</f>
        <v>0.68303707317073215</v>
      </c>
      <c r="K85" s="70">
        <f>('Farm data'!L4-('Farm data'!L5*(1+'Stress Testing Calculations'!$B$77))+'Farm data'!L8+'Farm data'!L9+'Farm data'!L10-'Farm data'!L11)/'Farm data'!L13</f>
        <v>-1.2557980952380956</v>
      </c>
      <c r="L85" s="70">
        <f>('Farm data'!M4-('Farm data'!M5*(1+'Stress Testing Calculations'!$B$77))+'Farm data'!M8+'Farm data'!M9+'Farm data'!M10-'Farm data'!M11)/'Farm data'!M13</f>
        <v>0.72243713355048844</v>
      </c>
      <c r="M85" s="70">
        <f>('Farm data'!N4-('Farm data'!N5*(1+'Stress Testing Calculations'!$B$77))+'Farm data'!N8+'Farm data'!N9+'Farm data'!N10-'Farm data'!N11)/'Farm data'!N13</f>
        <v>-0.64011399999999907</v>
      </c>
      <c r="N85" s="70">
        <f>('Farm data'!O4-('Farm data'!O5*(1+'Stress Testing Calculations'!$B$77))+'Farm data'!O8+'Farm data'!O9+'Farm data'!O10-'Farm data'!O11)/'Farm data'!O13</f>
        <v>2.5385428421731424</v>
      </c>
      <c r="O85" s="70">
        <f>('Farm data'!P4-('Farm data'!P5*(1+'Stress Testing Calculations'!$B$77))+'Farm data'!P8+'Farm data'!P9+'Farm data'!P10-'Farm data'!P11)/'Farm data'!P13</f>
        <v>1.3992208916462272</v>
      </c>
      <c r="P85" s="70">
        <f>('Farm data'!Q4-('Farm data'!Q5*(1+'Stress Testing Calculations'!$B$77))+'Farm data'!Q8+'Farm data'!Q9+'Farm data'!Q10-'Farm data'!Q11)/'Farm data'!Q13</f>
        <v>0.88067548746518121</v>
      </c>
      <c r="Q85" s="70">
        <f>('Farm data'!R4-('Farm data'!R5*(1+'Stress Testing Calculations'!$B$77))+'Farm data'!R8+'Farm data'!R9+'Farm data'!R10-'Farm data'!R11)/'Farm data'!R13</f>
        <v>0.78630350913281311</v>
      </c>
      <c r="R85" s="70">
        <f>('Farm data'!S4-('Farm data'!S5*(1+'Stress Testing Calculations'!$B$77))+'Farm data'!S8+'Farm data'!S9+'Farm data'!S10-'Farm data'!S11)/'Farm data'!S13</f>
        <v>0.27039712304623109</v>
      </c>
      <c r="S85" s="70">
        <f>('Farm data'!T4-('Farm data'!T5*(1+'Stress Testing Calculations'!$B$77))+'Farm data'!T8+'Farm data'!T9+'Farm data'!T10-'Farm data'!T11)/'Farm data'!T13</f>
        <v>0.70000753874917077</v>
      </c>
      <c r="T85" s="70">
        <f>('Farm data'!U4-('Farm data'!U5*(1+'Stress Testing Calculations'!$B$77))+'Farm data'!U8+'Farm data'!U9+'Farm data'!U10-'Farm data'!U11)/'Farm data'!U13</f>
        <v>0.4586454633234916</v>
      </c>
      <c r="U85" s="70">
        <f>('Farm data'!V4-('Farm data'!V5*(1+'Stress Testing Calculations'!$B$77))+'Farm data'!V8+'Farm data'!V9+'Farm data'!V10-'Farm data'!V11)/'Farm data'!V13</f>
        <v>-0.35611037124601597</v>
      </c>
    </row>
    <row r="86" spans="1:21" ht="15.75" thickBot="1" x14ac:dyDescent="0.3">
      <c r="A86" s="22" t="s">
        <v>19</v>
      </c>
      <c r="B86" s="76" t="str">
        <f>IF('Farm data'!C9="","NA",('Farm data'!C12/(('Farm data'!C9*$D$78)+'Farm data'!C13)))</f>
        <v>NA</v>
      </c>
      <c r="C86" s="76">
        <f>IF('Farm data'!D9="","NA",('Farm data'!D12/(('Farm data'!D9*$D$78)+'Farm data'!D13)))</f>
        <v>1.0352293586551891</v>
      </c>
      <c r="D86" s="76">
        <f>IF('Farm data'!E9="","NA",('Farm data'!E12/(('Farm data'!E9*$D$78)+'Farm data'!E13)))</f>
        <v>0.97384418600629363</v>
      </c>
      <c r="E86" s="76">
        <f>IF('Farm data'!F9="","NA",('Farm data'!F12/(('Farm data'!F9*$D$78)+'Farm data'!F13)))</f>
        <v>0.52094766619519095</v>
      </c>
      <c r="F86" s="76">
        <f>IF('Farm data'!G9="","NA",('Farm data'!G12/(('Farm data'!G9*$D$78)+'Farm data'!G13)))</f>
        <v>17.908366533864541</v>
      </c>
      <c r="G86" s="76" t="str">
        <f>IF('Farm data'!H9="","NA",('Farm data'!H12/(('Farm data'!H9*$D$78)+'Farm data'!H13)))</f>
        <v>NA</v>
      </c>
      <c r="H86" s="76">
        <f>IF('Farm data'!I9="","NA",('Farm data'!I12/(('Farm data'!I9*$D$78)+'Farm data'!I13)))</f>
        <v>0.8388721047331319</v>
      </c>
      <c r="I86" s="76" t="str">
        <f>IF('Farm data'!J9="","NA",('Farm data'!J12/(('Farm data'!J9*$D$78)+'Farm data'!J13)))</f>
        <v>NA</v>
      </c>
      <c r="J86" s="76">
        <f>IF('Farm data'!K9="","NA",('Farm data'!K12/(('Farm data'!K9*$D$78)+'Farm data'!K13)))</f>
        <v>1.0184527607361964</v>
      </c>
      <c r="K86" s="76">
        <f>IF('Farm data'!L9="","NA",('Farm data'!L12/(('Farm data'!L9*$D$78)+'Farm data'!L13)))</f>
        <v>0.89061073825503356</v>
      </c>
      <c r="L86" s="76">
        <f>IF('Farm data'!M9="","NA",('Farm data'!M12/(('Farm data'!M9*$D$78)+'Farm data'!M13)))</f>
        <v>1.2548416886543536</v>
      </c>
      <c r="M86" s="76">
        <f>IF('Farm data'!N9="","NA",('Farm data'!N12/(('Farm data'!N9*$D$78)+'Farm data'!N13)))</f>
        <v>1.2272039800995025</v>
      </c>
      <c r="N86" s="76">
        <f>IF('Farm data'!O9="","NA",('Farm data'!O12/(('Farm data'!O9*$D$78)+'Farm data'!O13)))</f>
        <v>2.3873413985538017</v>
      </c>
      <c r="O86" s="76" t="str">
        <f>IF('Farm data'!P9="","NA",('Farm data'!P12/(('Farm data'!P9*$D$78)+'Farm data'!P13)))</f>
        <v>NA</v>
      </c>
      <c r="P86" s="76" t="str">
        <f>IF('Farm data'!Q9="","NA",('Farm data'!Q12/(('Farm data'!Q9*$D$78)+'Farm data'!Q13)))</f>
        <v>NA</v>
      </c>
      <c r="Q86" s="76" t="str">
        <f>IF('Farm data'!R9="","NA",('Farm data'!R12/(('Farm data'!R9*$D$78)+'Farm data'!R13)))</f>
        <v>NA</v>
      </c>
      <c r="R86" s="76">
        <f>IF('Farm data'!S9="","NA",('Farm data'!S12/(('Farm data'!S9*$D$78)+'Farm data'!S13)))</f>
        <v>0.76716819267214464</v>
      </c>
      <c r="S86" s="76">
        <f>IF('Farm data'!T9="","NA",('Farm data'!T12/(('Farm data'!T9*$D$78)+'Farm data'!T13)))</f>
        <v>0.73614183845695758</v>
      </c>
      <c r="T86" s="76" t="str">
        <f>IF('Farm data'!U9="","NA",('Farm data'!U12/(('Farm data'!U9*$D$78)+'Farm data'!U13)))</f>
        <v>NA</v>
      </c>
      <c r="U86" s="76">
        <f>IF('Farm data'!V9="","NA",('Farm data'!V12/(('Farm data'!V9*$D$78)+'Farm data'!V13)))</f>
        <v>0.48041140920522735</v>
      </c>
    </row>
  </sheetData>
  <mergeCells count="1">
    <mergeCell ref="D1:J1"/>
  </mergeCells>
  <conditionalFormatting sqref="B51:G53">
    <cfRule type="cellIs" dxfId="14" priority="10" operator="lessThan">
      <formula>1</formula>
    </cfRule>
  </conditionalFormatting>
  <conditionalFormatting sqref="B55:G55">
    <cfRule type="cellIs" dxfId="13" priority="11" operator="greaterThan">
      <formula>0.85</formula>
    </cfRule>
    <cfRule type="cellIs" dxfId="12" priority="12" operator="greaterThan">
      <formula>85</formula>
    </cfRule>
  </conditionalFormatting>
  <conditionalFormatting sqref="B65:G67">
    <cfRule type="cellIs" dxfId="11" priority="6" operator="lessThan">
      <formula>1</formula>
    </cfRule>
  </conditionalFormatting>
  <conditionalFormatting sqref="B69:G69">
    <cfRule type="cellIs" dxfId="10" priority="7" operator="greaterThan">
      <formula>0.85</formula>
    </cfRule>
    <cfRule type="cellIs" dxfId="9" priority="8" operator="greaterThan">
      <formula>85</formula>
    </cfRule>
  </conditionalFormatting>
  <conditionalFormatting sqref="B37:H39">
    <cfRule type="cellIs" dxfId="8" priority="34" operator="lessThan">
      <formula>1</formula>
    </cfRule>
  </conditionalFormatting>
  <conditionalFormatting sqref="B41:H41">
    <cfRule type="cellIs" dxfId="7" priority="35" operator="greaterThan">
      <formula>0.85</formula>
    </cfRule>
    <cfRule type="cellIs" dxfId="6" priority="36" operator="greaterThan">
      <formula>85</formula>
    </cfRule>
  </conditionalFormatting>
  <conditionalFormatting sqref="B9:P11">
    <cfRule type="cellIs" dxfId="5" priority="70" operator="lessThan">
      <formula>1</formula>
    </cfRule>
  </conditionalFormatting>
  <conditionalFormatting sqref="B13:P13">
    <cfRule type="cellIs" dxfId="4" priority="1" operator="greaterThan">
      <formula>0.9</formula>
    </cfRule>
  </conditionalFormatting>
  <conditionalFormatting sqref="B83:U86">
    <cfRule type="cellIs" dxfId="3" priority="74" operator="lessThan">
      <formula>1</formula>
    </cfRule>
  </conditionalFormatting>
  <conditionalFormatting sqref="B23:AA25">
    <cfRule type="cellIs" dxfId="2" priority="46" operator="lessThan">
      <formula>1</formula>
    </cfRule>
  </conditionalFormatting>
  <conditionalFormatting sqref="B27:AA27">
    <cfRule type="cellIs" dxfId="1" priority="47" operator="greaterThan">
      <formula>0.85</formula>
    </cfRule>
    <cfRule type="cellIs" dxfId="0" priority="48" operator="greaterThan">
      <formula>85</formula>
    </cfRule>
  </conditionalFormatting>
  <dataValidations count="2">
    <dataValidation type="decimal" allowBlank="1" showInputMessage="1" showErrorMessage="1" sqref="B3 B59 B17 B31 B45" xr:uid="{BC78506D-3C49-404E-9555-581E5390E191}">
      <formula1>0.01</formula1>
      <formula2>0.03</formula2>
    </dataValidation>
    <dataValidation type="decimal" allowBlank="1" showInputMessage="1" showErrorMessage="1" sqref="B78" xr:uid="{846357EF-C546-48D7-B285-C5978B0C230A}">
      <formula1>0.01</formula1>
      <formula2>0.05</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702D-47F0-41F0-8548-7E234525E114}">
  <dimension ref="A1:V16"/>
  <sheetViews>
    <sheetView workbookViewId="0">
      <pane xSplit="1" topLeftCell="B1" activePane="topRight" state="frozen"/>
      <selection pane="topRight" activeCell="O4" sqref="O4"/>
    </sheetView>
  </sheetViews>
  <sheetFormatPr defaultRowHeight="15" x14ac:dyDescent="0.25"/>
  <cols>
    <col min="1" max="1" width="20.140625" customWidth="1"/>
    <col min="3" max="3" width="25.140625" customWidth="1"/>
    <col min="4" max="4" width="22.140625" customWidth="1"/>
    <col min="5" max="5" width="20.42578125" customWidth="1"/>
    <col min="6" max="12" width="15.5703125" customWidth="1"/>
    <col min="13" max="22" width="17.7109375" customWidth="1"/>
  </cols>
  <sheetData>
    <row r="1" spans="1:22" x14ac:dyDescent="0.25">
      <c r="A1" t="s">
        <v>77</v>
      </c>
      <c r="C1" t="s">
        <v>79</v>
      </c>
    </row>
    <row r="2" spans="1:22" x14ac:dyDescent="0.25">
      <c r="A2" t="s">
        <v>25</v>
      </c>
      <c r="C2" t="s">
        <v>45</v>
      </c>
    </row>
    <row r="3" spans="1:22" x14ac:dyDescent="0.25">
      <c r="C3" t="s">
        <v>83</v>
      </c>
      <c r="D3" t="s">
        <v>84</v>
      </c>
      <c r="E3" t="s">
        <v>84</v>
      </c>
      <c r="F3" t="s">
        <v>84</v>
      </c>
      <c r="G3" t="s">
        <v>84</v>
      </c>
      <c r="H3" t="s">
        <v>84</v>
      </c>
      <c r="I3" t="s">
        <v>84</v>
      </c>
      <c r="J3" t="s">
        <v>84</v>
      </c>
      <c r="K3" t="s">
        <v>84</v>
      </c>
      <c r="L3" t="s">
        <v>84</v>
      </c>
      <c r="M3" t="s">
        <v>84</v>
      </c>
      <c r="N3" t="s">
        <v>84</v>
      </c>
      <c r="O3" t="s">
        <v>84</v>
      </c>
      <c r="P3" t="s">
        <v>84</v>
      </c>
      <c r="Q3" t="s">
        <v>84</v>
      </c>
      <c r="R3" t="s">
        <v>84</v>
      </c>
      <c r="S3" t="s">
        <v>84</v>
      </c>
      <c r="T3" t="s">
        <v>84</v>
      </c>
      <c r="U3" t="s">
        <v>84</v>
      </c>
      <c r="V3" t="s">
        <v>84</v>
      </c>
    </row>
    <row r="4" spans="1:22" x14ac:dyDescent="0.25">
      <c r="A4" s="32" t="s">
        <v>27</v>
      </c>
      <c r="C4" s="30">
        <v>2485165</v>
      </c>
      <c r="D4" s="30">
        <v>3345895</v>
      </c>
      <c r="E4" s="30">
        <v>7689149</v>
      </c>
      <c r="F4" s="30">
        <v>542600</v>
      </c>
      <c r="G4" s="30">
        <v>6654000</v>
      </c>
      <c r="H4" s="30">
        <v>4565000</v>
      </c>
      <c r="I4" s="30">
        <v>496000</v>
      </c>
      <c r="J4" s="30">
        <v>149500</v>
      </c>
      <c r="K4" s="30">
        <v>2564895</v>
      </c>
      <c r="L4" s="30">
        <v>2875000</v>
      </c>
      <c r="M4" s="30">
        <v>1857569</v>
      </c>
      <c r="N4" s="30">
        <v>3984987</v>
      </c>
      <c r="O4" s="30">
        <v>2163200</v>
      </c>
      <c r="P4" s="30">
        <v>543700</v>
      </c>
      <c r="Q4" s="30">
        <f>1557480+7500</f>
        <v>1564980</v>
      </c>
      <c r="R4" s="30">
        <v>742303</v>
      </c>
      <c r="S4" s="30">
        <v>1926460</v>
      </c>
      <c r="T4" s="30">
        <v>456107</v>
      </c>
      <c r="U4" s="30">
        <v>3250567</v>
      </c>
      <c r="V4" s="30">
        <v>3778438</v>
      </c>
    </row>
    <row r="5" spans="1:22" x14ac:dyDescent="0.25">
      <c r="A5" s="32" t="s">
        <v>28</v>
      </c>
      <c r="C5" s="30">
        <v>1389516</v>
      </c>
      <c r="D5" s="30">
        <f>1070500+255970</f>
        <v>1326470</v>
      </c>
      <c r="E5" s="30">
        <v>6854985</v>
      </c>
      <c r="F5" s="30">
        <f>424600+34338</f>
        <v>458938</v>
      </c>
      <c r="G5" s="30">
        <v>5265000</v>
      </c>
      <c r="H5" s="30">
        <v>1013596</v>
      </c>
      <c r="I5" s="30">
        <v>429000</v>
      </c>
      <c r="J5" s="30">
        <v>84000</v>
      </c>
      <c r="K5" s="30">
        <v>2049856</v>
      </c>
      <c r="L5" s="30">
        <v>2645598</v>
      </c>
      <c r="M5" s="30">
        <v>1268984</v>
      </c>
      <c r="N5" s="30">
        <v>3426851</v>
      </c>
      <c r="O5" s="30">
        <f>1310500+133547</f>
        <v>1444047</v>
      </c>
      <c r="P5" s="30">
        <v>404375</v>
      </c>
      <c r="Q5" s="30">
        <v>1014306</v>
      </c>
      <c r="R5" s="30">
        <v>612500</v>
      </c>
      <c r="S5" s="30">
        <v>1709521</v>
      </c>
      <c r="T5" s="30">
        <v>264324</v>
      </c>
      <c r="U5" s="30">
        <v>2364100</v>
      </c>
      <c r="V5" s="30">
        <f>3165500+264115</f>
        <v>3429615</v>
      </c>
    </row>
    <row r="6" spans="1:22" x14ac:dyDescent="0.25">
      <c r="A6" s="32" t="s">
        <v>29</v>
      </c>
      <c r="C6" s="30">
        <f t="shared" ref="C6:L6" si="0">C4-C5</f>
        <v>1095649</v>
      </c>
      <c r="D6" s="30">
        <f t="shared" si="0"/>
        <v>2019425</v>
      </c>
      <c r="E6" s="30">
        <f t="shared" si="0"/>
        <v>834164</v>
      </c>
      <c r="F6" s="30">
        <f t="shared" si="0"/>
        <v>83662</v>
      </c>
      <c r="G6" s="30">
        <f t="shared" si="0"/>
        <v>1389000</v>
      </c>
      <c r="H6" s="30">
        <f t="shared" si="0"/>
        <v>3551404</v>
      </c>
      <c r="I6" s="30">
        <f t="shared" si="0"/>
        <v>67000</v>
      </c>
      <c r="J6" s="30">
        <f t="shared" si="0"/>
        <v>65500</v>
      </c>
      <c r="K6" s="30">
        <f t="shared" si="0"/>
        <v>515039</v>
      </c>
      <c r="L6" s="30">
        <f t="shared" si="0"/>
        <v>229402</v>
      </c>
      <c r="M6" s="30">
        <f t="shared" ref="M6:V6" si="1">M4-M5</f>
        <v>588585</v>
      </c>
      <c r="N6" s="30">
        <f t="shared" si="1"/>
        <v>558136</v>
      </c>
      <c r="O6" s="30">
        <f t="shared" si="1"/>
        <v>719153</v>
      </c>
      <c r="P6" s="30">
        <f t="shared" si="1"/>
        <v>139325</v>
      </c>
      <c r="Q6" s="30">
        <f t="shared" si="1"/>
        <v>550674</v>
      </c>
      <c r="R6" s="30">
        <f t="shared" si="1"/>
        <v>129803</v>
      </c>
      <c r="S6" s="30">
        <f t="shared" si="1"/>
        <v>216939</v>
      </c>
      <c r="T6" s="30">
        <f t="shared" si="1"/>
        <v>191783</v>
      </c>
      <c r="U6" s="30">
        <f t="shared" si="1"/>
        <v>886467</v>
      </c>
      <c r="V6" s="30">
        <f t="shared" si="1"/>
        <v>348823</v>
      </c>
    </row>
    <row r="7" spans="1:22" x14ac:dyDescent="0.25">
      <c r="A7" s="32" t="s">
        <v>30</v>
      </c>
      <c r="C7" s="30"/>
      <c r="D7" s="30"/>
      <c r="E7" s="30"/>
      <c r="F7" s="30"/>
      <c r="G7" s="30"/>
      <c r="H7" s="30"/>
      <c r="I7" s="30"/>
      <c r="J7" s="30"/>
      <c r="K7" s="30"/>
      <c r="L7" s="30"/>
      <c r="M7" s="30"/>
      <c r="N7" s="30"/>
      <c r="O7" s="30"/>
      <c r="P7" s="30"/>
      <c r="Q7" s="30"/>
      <c r="R7" s="30"/>
      <c r="S7" s="30"/>
      <c r="T7" s="30"/>
      <c r="U7" s="30"/>
      <c r="V7" s="30"/>
    </row>
    <row r="8" spans="1:22" x14ac:dyDescent="0.25">
      <c r="A8" s="32" t="s">
        <v>31</v>
      </c>
      <c r="C8" s="30">
        <v>0</v>
      </c>
      <c r="D8" s="30">
        <v>0</v>
      </c>
      <c r="E8" s="30">
        <v>0</v>
      </c>
      <c r="F8" s="30">
        <v>0</v>
      </c>
      <c r="G8" s="30">
        <v>0</v>
      </c>
      <c r="H8" s="30">
        <v>0</v>
      </c>
      <c r="I8" s="30">
        <v>0</v>
      </c>
      <c r="J8" s="30">
        <v>0</v>
      </c>
      <c r="K8" s="30">
        <v>200000</v>
      </c>
      <c r="L8" s="30">
        <v>0</v>
      </c>
      <c r="M8" s="30">
        <v>0</v>
      </c>
      <c r="N8" s="30">
        <v>0</v>
      </c>
      <c r="O8" s="30">
        <v>0</v>
      </c>
      <c r="P8" s="30">
        <v>0</v>
      </c>
      <c r="Q8" s="30">
        <v>0</v>
      </c>
      <c r="R8" s="30">
        <v>0</v>
      </c>
      <c r="S8" s="30">
        <v>0</v>
      </c>
      <c r="T8" s="30">
        <v>0</v>
      </c>
      <c r="U8" s="30">
        <v>0</v>
      </c>
      <c r="V8" s="30">
        <v>0</v>
      </c>
    </row>
    <row r="9" spans="1:22" x14ac:dyDescent="0.25">
      <c r="A9" s="32" t="s">
        <v>32</v>
      </c>
      <c r="C9" s="30"/>
      <c r="D9" s="30">
        <v>255970</v>
      </c>
      <c r="E9" s="30">
        <v>741259</v>
      </c>
      <c r="F9" s="30">
        <v>35000</v>
      </c>
      <c r="G9" s="30">
        <v>10000</v>
      </c>
      <c r="H9" s="30"/>
      <c r="I9" s="30">
        <v>31300</v>
      </c>
      <c r="J9" s="30"/>
      <c r="K9" s="30">
        <v>200000</v>
      </c>
      <c r="L9" s="30">
        <v>88000</v>
      </c>
      <c r="M9" s="30">
        <v>72000</v>
      </c>
      <c r="N9" s="30">
        <v>102000</v>
      </c>
      <c r="O9" s="30">
        <v>133547</v>
      </c>
      <c r="P9" s="30"/>
      <c r="Q9" s="30"/>
      <c r="R9" s="30"/>
      <c r="S9" s="30">
        <v>172696</v>
      </c>
      <c r="T9" s="30">
        <v>58791</v>
      </c>
      <c r="U9" s="30"/>
      <c r="V9" s="30">
        <v>264115</v>
      </c>
    </row>
    <row r="10" spans="1:22" x14ac:dyDescent="0.25">
      <c r="A10" s="32" t="s">
        <v>33</v>
      </c>
      <c r="C10" s="30">
        <v>0</v>
      </c>
      <c r="D10" s="30">
        <v>0</v>
      </c>
      <c r="E10" s="30">
        <v>0</v>
      </c>
      <c r="F10" s="30">
        <v>0</v>
      </c>
      <c r="G10" s="30">
        <v>0</v>
      </c>
      <c r="H10" s="30">
        <v>0</v>
      </c>
      <c r="I10" s="30">
        <v>24500</v>
      </c>
      <c r="J10" s="30">
        <v>40000</v>
      </c>
      <c r="K10" s="30">
        <v>75000</v>
      </c>
      <c r="L10" s="30">
        <v>23000</v>
      </c>
      <c r="M10" s="30">
        <v>0</v>
      </c>
      <c r="N10" s="30">
        <v>49000</v>
      </c>
      <c r="O10" s="30">
        <v>0</v>
      </c>
      <c r="P10" s="30">
        <v>94030</v>
      </c>
      <c r="Q10" s="30">
        <v>0</v>
      </c>
      <c r="R10" s="30">
        <v>250000</v>
      </c>
      <c r="S10" s="30">
        <v>156257</v>
      </c>
      <c r="T10" s="30">
        <v>38000</v>
      </c>
      <c r="U10" s="30">
        <v>81072</v>
      </c>
      <c r="V10" s="30">
        <v>0</v>
      </c>
    </row>
    <row r="11" spans="1:22" x14ac:dyDescent="0.25">
      <c r="A11" s="33" t="s">
        <v>34</v>
      </c>
      <c r="C11" s="30">
        <v>137000</v>
      </c>
      <c r="D11" s="30">
        <v>59000</v>
      </c>
      <c r="E11" s="30">
        <v>55000</v>
      </c>
      <c r="F11" s="30">
        <v>45000</v>
      </c>
      <c r="G11" s="30">
        <v>500000</v>
      </c>
      <c r="H11" s="30">
        <v>105000</v>
      </c>
      <c r="I11" s="30">
        <v>39500</v>
      </c>
      <c r="J11" s="30">
        <v>25000</v>
      </c>
      <c r="K11" s="30">
        <v>160000</v>
      </c>
      <c r="L11" s="30">
        <v>75000</v>
      </c>
      <c r="M11" s="30">
        <v>185000</v>
      </c>
      <c r="N11" s="30">
        <v>215800</v>
      </c>
      <c r="O11" s="30">
        <v>60000</v>
      </c>
      <c r="P11" s="30">
        <v>55500</v>
      </c>
      <c r="Q11" s="30">
        <v>105000</v>
      </c>
      <c r="R11" s="30">
        <v>70000</v>
      </c>
      <c r="S11" s="30">
        <v>90000</v>
      </c>
      <c r="T11" s="30">
        <v>50000</v>
      </c>
      <c r="U11" s="30">
        <v>100000</v>
      </c>
      <c r="V11" s="30">
        <v>165000</v>
      </c>
    </row>
    <row r="12" spans="1:22" x14ac:dyDescent="0.25">
      <c r="A12" s="32" t="s">
        <v>35</v>
      </c>
      <c r="C12" s="30">
        <f t="shared" ref="C12:L12" si="2">C6+C8+C9+C10-C11</f>
        <v>958649</v>
      </c>
      <c r="D12" s="30">
        <f t="shared" si="2"/>
        <v>2216395</v>
      </c>
      <c r="E12" s="30">
        <f t="shared" si="2"/>
        <v>1520423</v>
      </c>
      <c r="F12" s="30">
        <f t="shared" si="2"/>
        <v>73662</v>
      </c>
      <c r="G12" s="30">
        <f t="shared" si="2"/>
        <v>899000</v>
      </c>
      <c r="H12" s="30">
        <f t="shared" si="2"/>
        <v>3446404</v>
      </c>
      <c r="I12" s="30">
        <f t="shared" si="2"/>
        <v>83300</v>
      </c>
      <c r="J12" s="30">
        <f t="shared" si="2"/>
        <v>80500</v>
      </c>
      <c r="K12" s="30">
        <f t="shared" si="2"/>
        <v>830039</v>
      </c>
      <c r="L12" s="30">
        <f t="shared" si="2"/>
        <v>265402</v>
      </c>
      <c r="M12" s="30">
        <f t="shared" ref="M12:V12" si="3">M6+M8+M9+M10-M11</f>
        <v>475585</v>
      </c>
      <c r="N12" s="30">
        <f t="shared" si="3"/>
        <v>493336</v>
      </c>
      <c r="O12" s="30">
        <f t="shared" si="3"/>
        <v>792700</v>
      </c>
      <c r="P12" s="30">
        <f t="shared" si="3"/>
        <v>177855</v>
      </c>
      <c r="Q12" s="30">
        <f t="shared" si="3"/>
        <v>445674</v>
      </c>
      <c r="R12" s="30">
        <f t="shared" si="3"/>
        <v>309803</v>
      </c>
      <c r="S12" s="30">
        <f t="shared" si="3"/>
        <v>455892</v>
      </c>
      <c r="T12" s="30">
        <f t="shared" si="3"/>
        <v>238574</v>
      </c>
      <c r="U12" s="30">
        <f t="shared" si="3"/>
        <v>867539</v>
      </c>
      <c r="V12" s="30">
        <f t="shared" si="3"/>
        <v>447938</v>
      </c>
    </row>
    <row r="13" spans="1:22" x14ac:dyDescent="0.25">
      <c r="A13" s="32" t="s">
        <v>36</v>
      </c>
      <c r="C13" s="30">
        <v>80200</v>
      </c>
      <c r="D13" s="30">
        <v>1885000</v>
      </c>
      <c r="E13" s="30">
        <v>820000</v>
      </c>
      <c r="F13" s="30">
        <v>106400</v>
      </c>
      <c r="G13" s="30">
        <v>40200</v>
      </c>
      <c r="H13" s="30">
        <v>275000</v>
      </c>
      <c r="I13" s="30">
        <v>68000</v>
      </c>
      <c r="J13" s="30">
        <v>72500</v>
      </c>
      <c r="K13" s="30">
        <v>615000</v>
      </c>
      <c r="L13" s="30">
        <v>210000</v>
      </c>
      <c r="M13" s="30">
        <v>307000</v>
      </c>
      <c r="N13" s="30">
        <v>300000</v>
      </c>
      <c r="O13" s="30">
        <v>198496</v>
      </c>
      <c r="P13" s="30">
        <v>69310</v>
      </c>
      <c r="Q13" s="30">
        <v>275712</v>
      </c>
      <c r="R13" s="30">
        <v>238207</v>
      </c>
      <c r="S13" s="30">
        <v>421557</v>
      </c>
      <c r="T13" s="30">
        <v>265296</v>
      </c>
      <c r="U13" s="30">
        <v>860619</v>
      </c>
      <c r="V13" s="30">
        <v>668290</v>
      </c>
    </row>
    <row r="14" spans="1:22" x14ac:dyDescent="0.25">
      <c r="A14" s="32" t="s">
        <v>37</v>
      </c>
      <c r="C14" s="30">
        <f t="shared" ref="C14:L14" si="4">C12-C13</f>
        <v>878449</v>
      </c>
      <c r="D14" s="30">
        <f t="shared" si="4"/>
        <v>331395</v>
      </c>
      <c r="E14" s="30">
        <f t="shared" si="4"/>
        <v>700423</v>
      </c>
      <c r="F14" s="30">
        <f t="shared" si="4"/>
        <v>-32738</v>
      </c>
      <c r="G14" s="30">
        <f t="shared" si="4"/>
        <v>858800</v>
      </c>
      <c r="H14" s="30">
        <f t="shared" si="4"/>
        <v>3171404</v>
      </c>
      <c r="I14" s="30">
        <f t="shared" si="4"/>
        <v>15300</v>
      </c>
      <c r="J14" s="30">
        <f t="shared" si="4"/>
        <v>8000</v>
      </c>
      <c r="K14" s="30">
        <f t="shared" si="4"/>
        <v>215039</v>
      </c>
      <c r="L14" s="30">
        <f t="shared" si="4"/>
        <v>55402</v>
      </c>
      <c r="M14" s="30">
        <f t="shared" ref="M14:V14" si="5">M12-M13</f>
        <v>168585</v>
      </c>
      <c r="N14" s="30">
        <f t="shared" si="5"/>
        <v>193336</v>
      </c>
      <c r="O14" s="30">
        <f t="shared" si="5"/>
        <v>594204</v>
      </c>
      <c r="P14" s="30">
        <f t="shared" si="5"/>
        <v>108545</v>
      </c>
      <c r="Q14" s="30">
        <f t="shared" si="5"/>
        <v>169962</v>
      </c>
      <c r="R14" s="30">
        <f t="shared" si="5"/>
        <v>71596</v>
      </c>
      <c r="S14" s="30">
        <f t="shared" si="5"/>
        <v>34335</v>
      </c>
      <c r="T14" s="30">
        <f t="shared" si="5"/>
        <v>-26722</v>
      </c>
      <c r="U14" s="30">
        <f t="shared" si="5"/>
        <v>6920</v>
      </c>
      <c r="V14" s="30">
        <f t="shared" si="5"/>
        <v>-220352</v>
      </c>
    </row>
    <row r="15" spans="1:22" x14ac:dyDescent="0.25">
      <c r="A15" s="32" t="s">
        <v>38</v>
      </c>
      <c r="C15" s="31">
        <f t="shared" ref="C15:L15" si="6">C12/C13</f>
        <v>11.953229426433916</v>
      </c>
      <c r="D15" s="31">
        <f t="shared" si="6"/>
        <v>1.1758063660477454</v>
      </c>
      <c r="E15" s="31">
        <f t="shared" si="6"/>
        <v>1.8541743902439025</v>
      </c>
      <c r="F15" s="31">
        <f t="shared" si="6"/>
        <v>0.69231203007518793</v>
      </c>
      <c r="G15" s="31">
        <f t="shared" si="6"/>
        <v>22.363184079601989</v>
      </c>
      <c r="H15" s="31">
        <f t="shared" si="6"/>
        <v>12.532378181818181</v>
      </c>
      <c r="I15" s="31">
        <f t="shared" si="6"/>
        <v>1.2250000000000001</v>
      </c>
      <c r="J15" s="31">
        <f t="shared" si="6"/>
        <v>1.1103448275862069</v>
      </c>
      <c r="K15" s="31">
        <f t="shared" si="6"/>
        <v>1.3496569105691056</v>
      </c>
      <c r="L15" s="31">
        <f t="shared" si="6"/>
        <v>1.2638190476190476</v>
      </c>
      <c r="M15" s="31">
        <f t="shared" ref="M15:V15" si="7">M12/M13</f>
        <v>1.5491368078175896</v>
      </c>
      <c r="N15" s="31">
        <f t="shared" si="7"/>
        <v>1.6444533333333333</v>
      </c>
      <c r="O15" s="31">
        <f t="shared" si="7"/>
        <v>3.9935313557955827</v>
      </c>
      <c r="P15" s="31">
        <f t="shared" si="7"/>
        <v>2.5660799307459241</v>
      </c>
      <c r="Q15" s="31">
        <f t="shared" si="7"/>
        <v>1.6164475974930361</v>
      </c>
      <c r="R15" s="31">
        <f t="shared" si="7"/>
        <v>1.3005621161426826</v>
      </c>
      <c r="S15" s="31">
        <f t="shared" si="7"/>
        <v>1.0814480604046428</v>
      </c>
      <c r="T15" s="31">
        <f t="shared" si="7"/>
        <v>0.89927477232977504</v>
      </c>
      <c r="U15" s="31">
        <f t="shared" si="7"/>
        <v>1.0080407241764358</v>
      </c>
      <c r="V15" s="31">
        <f t="shared" si="7"/>
        <v>0.67027488066557928</v>
      </c>
    </row>
    <row r="16" spans="1:22" x14ac:dyDescent="0.25">
      <c r="A16" s="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4B02-DEB4-493A-B4BB-D185DCF3CF61}">
  <dimension ref="A1:S22"/>
  <sheetViews>
    <sheetView zoomScale="115" zoomScaleNormal="115" workbookViewId="0">
      <pane xSplit="1" topLeftCell="B1" activePane="topRight" state="frozen"/>
      <selection pane="topRight" activeCell="D3" sqref="D3"/>
    </sheetView>
  </sheetViews>
  <sheetFormatPr defaultRowHeight="15" x14ac:dyDescent="0.25"/>
  <cols>
    <col min="1" max="1" width="38.85546875" customWidth="1"/>
    <col min="3" max="3" width="16.140625" customWidth="1"/>
    <col min="4" max="4" width="15.85546875" customWidth="1"/>
    <col min="5" max="5" width="17.28515625" customWidth="1"/>
    <col min="6" max="14" width="19.140625" customWidth="1"/>
    <col min="15" max="19" width="16.42578125" customWidth="1"/>
  </cols>
  <sheetData>
    <row r="1" spans="1:19" x14ac:dyDescent="0.25">
      <c r="A1" s="9"/>
    </row>
    <row r="2" spans="1:19" x14ac:dyDescent="0.25">
      <c r="A2" s="9"/>
      <c r="B2" s="11" t="s">
        <v>22</v>
      </c>
      <c r="C2" t="s">
        <v>79</v>
      </c>
    </row>
    <row r="3" spans="1:19" x14ac:dyDescent="0.25">
      <c r="B3" s="11" t="s">
        <v>25</v>
      </c>
      <c r="C3" t="s">
        <v>45</v>
      </c>
    </row>
    <row r="4" spans="1:19" x14ac:dyDescent="0.25">
      <c r="B4" s="11" t="s">
        <v>78</v>
      </c>
      <c r="C4" s="12">
        <v>44926</v>
      </c>
      <c r="D4" s="12">
        <v>44926</v>
      </c>
      <c r="E4" s="88" t="s">
        <v>26</v>
      </c>
      <c r="F4" s="12">
        <v>44926</v>
      </c>
      <c r="G4" s="12">
        <v>44926</v>
      </c>
      <c r="H4" s="12" t="s">
        <v>85</v>
      </c>
      <c r="I4" s="12">
        <v>44926</v>
      </c>
      <c r="J4" s="12">
        <v>44926</v>
      </c>
      <c r="K4" s="12">
        <v>44926</v>
      </c>
      <c r="L4" s="12">
        <v>44926</v>
      </c>
      <c r="M4" s="12">
        <v>44926</v>
      </c>
      <c r="N4" s="12">
        <v>44926</v>
      </c>
      <c r="O4" s="89" t="s">
        <v>84</v>
      </c>
      <c r="P4" s="89" t="s">
        <v>84</v>
      </c>
      <c r="Q4" s="89" t="s">
        <v>84</v>
      </c>
      <c r="R4" s="36"/>
      <c r="S4" s="36"/>
    </row>
    <row r="5" spans="1:19" x14ac:dyDescent="0.25">
      <c r="A5" s="5" t="s">
        <v>0</v>
      </c>
      <c r="C5" s="1">
        <v>3906975</v>
      </c>
      <c r="D5" s="1">
        <v>4092284</v>
      </c>
      <c r="E5" s="1">
        <v>1721000</v>
      </c>
      <c r="F5" s="1">
        <v>2340316</v>
      </c>
      <c r="G5" s="1">
        <v>2417298</v>
      </c>
      <c r="H5" s="1">
        <v>1602440</v>
      </c>
      <c r="I5" s="1">
        <v>2397734</v>
      </c>
      <c r="J5" s="1">
        <v>3165000</v>
      </c>
      <c r="K5" s="1">
        <v>8414000</v>
      </c>
      <c r="L5" s="1">
        <v>2181685</v>
      </c>
      <c r="M5" s="1">
        <v>2134150</v>
      </c>
      <c r="N5" s="1">
        <v>2476000</v>
      </c>
      <c r="O5" s="1">
        <v>1512000</v>
      </c>
      <c r="P5" s="1">
        <v>10482298</v>
      </c>
      <c r="Q5" s="1">
        <v>8315090</v>
      </c>
      <c r="R5" s="1"/>
      <c r="S5" s="1"/>
    </row>
    <row r="6" spans="1:19" x14ac:dyDescent="0.25">
      <c r="A6" s="5" t="s">
        <v>1</v>
      </c>
      <c r="C6" s="1">
        <v>3585839</v>
      </c>
      <c r="D6" s="1">
        <v>3052180</v>
      </c>
      <c r="E6" s="1">
        <v>1721000</v>
      </c>
      <c r="F6" s="1">
        <v>1552523</v>
      </c>
      <c r="G6" s="1">
        <v>2417298</v>
      </c>
      <c r="H6" s="1">
        <v>1602440</v>
      </c>
      <c r="I6" s="1">
        <v>2397734</v>
      </c>
      <c r="J6" s="1">
        <v>2424103</v>
      </c>
      <c r="K6" s="1">
        <v>7280000</v>
      </c>
      <c r="L6" s="1">
        <v>2181685</v>
      </c>
      <c r="M6" s="1">
        <v>2134150</v>
      </c>
      <c r="N6" s="1">
        <v>2476000</v>
      </c>
      <c r="O6" s="1">
        <v>1512000</v>
      </c>
      <c r="P6" s="1">
        <v>10482298</v>
      </c>
      <c r="Q6" s="1">
        <v>8315090</v>
      </c>
      <c r="R6" s="1"/>
      <c r="S6" s="1"/>
    </row>
    <row r="7" spans="1:19" x14ac:dyDescent="0.25">
      <c r="A7" s="5" t="s">
        <v>2</v>
      </c>
      <c r="C7" s="2">
        <v>480047</v>
      </c>
      <c r="D7" s="2">
        <f>1310774-438225</f>
        <v>872549</v>
      </c>
      <c r="E7" s="2">
        <f>310000-302000</f>
        <v>8000</v>
      </c>
      <c r="F7" s="2">
        <v>30685</v>
      </c>
      <c r="G7" s="2">
        <v>196976</v>
      </c>
      <c r="H7" s="2">
        <v>-405409</v>
      </c>
      <c r="I7" s="2">
        <v>142486</v>
      </c>
      <c r="J7" s="2">
        <f>127836+861600-328588</f>
        <v>660848</v>
      </c>
      <c r="K7" s="2">
        <v>-2083000</v>
      </c>
      <c r="L7" s="2">
        <f>420643-142500</f>
        <v>278143</v>
      </c>
      <c r="M7" s="2">
        <v>370034</v>
      </c>
      <c r="N7" s="2">
        <f>555000-292156</f>
        <v>262844</v>
      </c>
      <c r="O7" s="2">
        <f>435000-192500</f>
        <v>242500</v>
      </c>
      <c r="P7" s="2">
        <v>1640655</v>
      </c>
      <c r="Q7" s="2">
        <f>1947376-992500</f>
        <v>954876</v>
      </c>
      <c r="R7" s="2"/>
      <c r="S7" s="2"/>
    </row>
    <row r="8" spans="1:19" x14ac:dyDescent="0.25">
      <c r="A8" s="5" t="s">
        <v>3</v>
      </c>
      <c r="C8" s="2">
        <v>626614</v>
      </c>
      <c r="D8" s="2">
        <v>0</v>
      </c>
      <c r="E8" s="2">
        <v>0</v>
      </c>
      <c r="F8" s="2">
        <v>321086</v>
      </c>
      <c r="G8" s="2">
        <v>97335</v>
      </c>
      <c r="H8" s="2">
        <v>502969</v>
      </c>
      <c r="I8" s="2">
        <v>231476</v>
      </c>
      <c r="J8" s="2">
        <v>188167</v>
      </c>
      <c r="K8" s="2">
        <v>1177000</v>
      </c>
      <c r="L8" s="2">
        <v>0</v>
      </c>
      <c r="M8" s="2">
        <v>221980</v>
      </c>
      <c r="N8" s="2">
        <v>0</v>
      </c>
      <c r="O8" s="2">
        <v>0</v>
      </c>
      <c r="P8" s="2">
        <v>0</v>
      </c>
      <c r="Q8" s="2">
        <v>0</v>
      </c>
      <c r="R8" s="2"/>
      <c r="S8" s="2"/>
    </row>
    <row r="9" spans="1:19" x14ac:dyDescent="0.25">
      <c r="A9" s="5" t="s">
        <v>4</v>
      </c>
      <c r="C9" s="2">
        <f>+C8+C7</f>
        <v>1106661</v>
      </c>
      <c r="D9" s="2">
        <f>+D8+D7</f>
        <v>872549</v>
      </c>
      <c r="E9" s="2">
        <f>+E8+E7</f>
        <v>8000</v>
      </c>
      <c r="F9" s="2">
        <f t="shared" ref="F9:N9" si="0">+F8+F7</f>
        <v>351771</v>
      </c>
      <c r="G9" s="2">
        <f t="shared" si="0"/>
        <v>294311</v>
      </c>
      <c r="H9" s="2">
        <f t="shared" si="0"/>
        <v>97560</v>
      </c>
      <c r="I9" s="2">
        <f t="shared" si="0"/>
        <v>373962</v>
      </c>
      <c r="J9" s="2">
        <f t="shared" si="0"/>
        <v>849015</v>
      </c>
      <c r="K9" s="2">
        <f t="shared" si="0"/>
        <v>-906000</v>
      </c>
      <c r="L9" s="2">
        <f t="shared" si="0"/>
        <v>278143</v>
      </c>
      <c r="M9" s="2">
        <f t="shared" si="0"/>
        <v>592014</v>
      </c>
      <c r="N9" s="2">
        <f t="shared" si="0"/>
        <v>262844</v>
      </c>
      <c r="O9" s="2">
        <f t="shared" ref="O9" si="1">+O8+O7</f>
        <v>242500</v>
      </c>
      <c r="P9" s="2">
        <f t="shared" ref="P9" si="2">+P8+P7</f>
        <v>1640655</v>
      </c>
      <c r="Q9" s="2">
        <f t="shared" ref="Q9" si="3">+Q8+Q7</f>
        <v>954876</v>
      </c>
      <c r="R9" s="2"/>
      <c r="S9" s="2"/>
    </row>
    <row r="10" spans="1:19" x14ac:dyDescent="0.25">
      <c r="A10" s="5" t="s">
        <v>5</v>
      </c>
      <c r="C10" s="2">
        <v>495400</v>
      </c>
      <c r="D10" s="2">
        <v>438225</v>
      </c>
      <c r="E10" s="2">
        <v>302000</v>
      </c>
      <c r="F10" s="2">
        <v>239789</v>
      </c>
      <c r="G10" s="2">
        <v>164424</v>
      </c>
      <c r="H10" s="2">
        <v>406011</v>
      </c>
      <c r="I10" s="2">
        <v>223957</v>
      </c>
      <c r="J10" s="2">
        <v>328588</v>
      </c>
      <c r="K10" s="2">
        <v>1017000</v>
      </c>
      <c r="L10" s="2">
        <v>142500</v>
      </c>
      <c r="M10" s="2">
        <v>236061</v>
      </c>
      <c r="N10" s="2">
        <v>292156</v>
      </c>
      <c r="O10" s="2">
        <v>192500</v>
      </c>
      <c r="P10" s="2">
        <v>1872939</v>
      </c>
      <c r="Q10" s="2">
        <v>992500</v>
      </c>
      <c r="R10" s="2"/>
      <c r="S10" s="2"/>
    </row>
    <row r="11" spans="1:19" x14ac:dyDescent="0.25">
      <c r="A11" s="5" t="s">
        <v>6</v>
      </c>
      <c r="C11" s="2">
        <v>-790000</v>
      </c>
      <c r="D11" s="2">
        <v>0</v>
      </c>
      <c r="E11" s="2">
        <v>0</v>
      </c>
      <c r="F11" s="2">
        <v>-104270</v>
      </c>
      <c r="G11" s="2">
        <v>0</v>
      </c>
      <c r="H11" s="2">
        <v>0</v>
      </c>
      <c r="I11" s="2">
        <v>0</v>
      </c>
      <c r="J11" s="2">
        <v>0</v>
      </c>
      <c r="K11" s="2">
        <v>0</v>
      </c>
      <c r="L11" s="2">
        <v>0</v>
      </c>
      <c r="M11" s="2">
        <v>-227872</v>
      </c>
      <c r="N11" s="2">
        <v>181000</v>
      </c>
      <c r="O11" s="2">
        <v>0</v>
      </c>
      <c r="P11" s="2">
        <v>0</v>
      </c>
      <c r="Q11" s="2">
        <v>0</v>
      </c>
      <c r="R11" s="2"/>
      <c r="S11" s="2"/>
    </row>
    <row r="12" spans="1:19" x14ac:dyDescent="0.25">
      <c r="A12" s="5" t="s">
        <v>7</v>
      </c>
      <c r="C12" s="3">
        <f>+C10+C9+C11</f>
        <v>812061</v>
      </c>
      <c r="D12" s="3">
        <f>+D10+D9+D11</f>
        <v>1310774</v>
      </c>
      <c r="E12" s="3">
        <f>+E10+E9+E11</f>
        <v>310000</v>
      </c>
      <c r="F12" s="3">
        <f t="shared" ref="F12:N12" si="4">+F10+F9+F11</f>
        <v>487290</v>
      </c>
      <c r="G12" s="3">
        <f t="shared" si="4"/>
        <v>458735</v>
      </c>
      <c r="H12" s="3">
        <f t="shared" si="4"/>
        <v>503571</v>
      </c>
      <c r="I12" s="3">
        <f t="shared" si="4"/>
        <v>597919</v>
      </c>
      <c r="J12" s="3">
        <f t="shared" si="4"/>
        <v>1177603</v>
      </c>
      <c r="K12" s="3">
        <f t="shared" si="4"/>
        <v>111000</v>
      </c>
      <c r="L12" s="3">
        <f t="shared" si="4"/>
        <v>420643</v>
      </c>
      <c r="M12" s="3">
        <f t="shared" si="4"/>
        <v>600203</v>
      </c>
      <c r="N12" s="3">
        <f t="shared" si="4"/>
        <v>736000</v>
      </c>
      <c r="O12" s="3">
        <f t="shared" ref="O12" si="5">+O10+O9+O11</f>
        <v>435000</v>
      </c>
      <c r="P12" s="3">
        <f t="shared" ref="P12" si="6">+P10+P9+P11</f>
        <v>3513594</v>
      </c>
      <c r="Q12" s="3">
        <f t="shared" ref="Q12" si="7">+Q10+Q9+Q11</f>
        <v>1947376</v>
      </c>
      <c r="R12" s="3"/>
      <c r="S12" s="3"/>
    </row>
    <row r="13" spans="1:19" x14ac:dyDescent="0.25">
      <c r="A13" s="5" t="s">
        <v>8</v>
      </c>
      <c r="C13" s="2">
        <v>819789</v>
      </c>
      <c r="D13" s="2">
        <v>668520</v>
      </c>
      <c r="E13" s="2">
        <v>623000</v>
      </c>
      <c r="F13" s="2">
        <v>500538</v>
      </c>
      <c r="G13" s="2">
        <v>288456</v>
      </c>
      <c r="H13" s="2">
        <v>406011</v>
      </c>
      <c r="I13" s="2">
        <v>484615</v>
      </c>
      <c r="J13" s="2">
        <v>615408</v>
      </c>
      <c r="K13" s="2">
        <v>1764000</v>
      </c>
      <c r="L13" s="2">
        <v>324905</v>
      </c>
      <c r="M13" s="2">
        <v>568064</v>
      </c>
      <c r="N13" s="2">
        <v>645000</v>
      </c>
      <c r="O13" s="2">
        <v>263000</v>
      </c>
      <c r="P13" s="2">
        <v>2562863</v>
      </c>
      <c r="Q13" s="2">
        <v>1646628</v>
      </c>
      <c r="R13" s="2"/>
      <c r="S13" s="2"/>
    </row>
    <row r="14" spans="1:19" x14ac:dyDescent="0.25">
      <c r="A14" s="5" t="s">
        <v>9</v>
      </c>
      <c r="C14" s="4">
        <f>(C9+C10)/C13</f>
        <v>1.954235785061766</v>
      </c>
      <c r="D14" s="4">
        <f>(D9+D10)/D13</f>
        <v>1.9607102255729074</v>
      </c>
      <c r="E14" s="4">
        <f>(E9+E10)/E13</f>
        <v>0.49759229534510435</v>
      </c>
      <c r="F14" s="4">
        <f t="shared" ref="F14:N14" si="8">(F9+F10)/F13</f>
        <v>1.1818483311956336</v>
      </c>
      <c r="G14" s="4">
        <f t="shared" si="8"/>
        <v>1.5903118673211858</v>
      </c>
      <c r="H14" s="4">
        <f t="shared" si="8"/>
        <v>1.2402890562078368</v>
      </c>
      <c r="I14" s="4">
        <f t="shared" si="8"/>
        <v>1.2338020903191194</v>
      </c>
      <c r="J14" s="4">
        <f t="shared" si="8"/>
        <v>1.9135321607778903</v>
      </c>
      <c r="K14" s="4">
        <f t="shared" si="8"/>
        <v>6.2925170068027211E-2</v>
      </c>
      <c r="L14" s="4">
        <f t="shared" si="8"/>
        <v>1.2946645942660162</v>
      </c>
      <c r="M14" s="4">
        <f t="shared" si="8"/>
        <v>1.4577142716313656</v>
      </c>
      <c r="N14" s="4">
        <f t="shared" si="8"/>
        <v>0.86046511627906974</v>
      </c>
      <c r="O14" s="4">
        <f t="shared" ref="O14" si="9">(O9+O10)/O13</f>
        <v>1.6539923954372624</v>
      </c>
      <c r="P14" s="4">
        <f t="shared" ref="P14" si="10">(P9+P10)/P13</f>
        <v>1.3709644253321382</v>
      </c>
      <c r="Q14" s="4">
        <f t="shared" ref="Q14" si="11">(Q9+Q10)/Q13</f>
        <v>1.1826447746546276</v>
      </c>
      <c r="R14" s="4"/>
      <c r="S14" s="4"/>
    </row>
    <row r="15" spans="1:19" x14ac:dyDescent="0.25">
      <c r="A15" s="5" t="s">
        <v>10</v>
      </c>
      <c r="C15" s="4">
        <f>C12/C13</f>
        <v>0.9905731840754145</v>
      </c>
      <c r="D15" s="4">
        <f>D12/D13</f>
        <v>1.9607102255729074</v>
      </c>
      <c r="E15" s="4">
        <f>E12/E13</f>
        <v>0.49759229534510435</v>
      </c>
      <c r="F15" s="4">
        <f t="shared" ref="F15:N15" si="12">F12/F13</f>
        <v>0.97353247905253948</v>
      </c>
      <c r="G15" s="4">
        <f t="shared" si="12"/>
        <v>1.5903118673211858</v>
      </c>
      <c r="H15" s="4">
        <f t="shared" si="12"/>
        <v>1.2402890562078368</v>
      </c>
      <c r="I15" s="4">
        <f t="shared" si="12"/>
        <v>1.2338020903191194</v>
      </c>
      <c r="J15" s="4">
        <f t="shared" si="12"/>
        <v>1.9135321607778903</v>
      </c>
      <c r="K15" s="4">
        <f t="shared" si="12"/>
        <v>6.2925170068027211E-2</v>
      </c>
      <c r="L15" s="4">
        <f t="shared" si="12"/>
        <v>1.2946645942660162</v>
      </c>
      <c r="M15" s="4">
        <f t="shared" si="12"/>
        <v>1.0565763716764309</v>
      </c>
      <c r="N15" s="4">
        <f t="shared" si="12"/>
        <v>1.1410852713178294</v>
      </c>
      <c r="O15" s="4">
        <f t="shared" ref="O15:Q15" si="13">O12/O13</f>
        <v>1.6539923954372624</v>
      </c>
      <c r="P15" s="4">
        <f t="shared" si="13"/>
        <v>1.3709644253321382</v>
      </c>
      <c r="Q15" s="4">
        <f t="shared" si="13"/>
        <v>1.1826447746546276</v>
      </c>
      <c r="R15" s="4"/>
      <c r="S15" s="4"/>
    </row>
    <row r="16" spans="1:19" x14ac:dyDescent="0.25">
      <c r="A16" s="5"/>
      <c r="C16" s="2"/>
    </row>
    <row r="17" spans="1:19" x14ac:dyDescent="0.25">
      <c r="A17" s="5" t="s">
        <v>11</v>
      </c>
      <c r="C17" s="6">
        <f t="shared" ref="C17:Q17" si="14">C6-C7</f>
        <v>3105792</v>
      </c>
      <c r="D17" s="6">
        <f t="shared" si="14"/>
        <v>2179631</v>
      </c>
      <c r="E17" s="6">
        <f t="shared" si="14"/>
        <v>1713000</v>
      </c>
      <c r="F17" s="6">
        <f t="shared" si="14"/>
        <v>1521838</v>
      </c>
      <c r="G17" s="6">
        <f t="shared" si="14"/>
        <v>2220322</v>
      </c>
      <c r="H17" s="6">
        <f t="shared" si="14"/>
        <v>2007849</v>
      </c>
      <c r="I17" s="6">
        <f t="shared" si="14"/>
        <v>2255248</v>
      </c>
      <c r="J17" s="6">
        <f t="shared" si="14"/>
        <v>1763255</v>
      </c>
      <c r="K17" s="6">
        <f t="shared" si="14"/>
        <v>9363000</v>
      </c>
      <c r="L17" s="6">
        <f t="shared" si="14"/>
        <v>1903542</v>
      </c>
      <c r="M17" s="6">
        <f t="shared" si="14"/>
        <v>1764116</v>
      </c>
      <c r="N17" s="6">
        <f t="shared" si="14"/>
        <v>2213156</v>
      </c>
      <c r="O17" s="6">
        <f t="shared" si="14"/>
        <v>1269500</v>
      </c>
      <c r="P17" s="6">
        <f t="shared" si="14"/>
        <v>8841643</v>
      </c>
      <c r="Q17" s="6">
        <f t="shared" si="14"/>
        <v>7360214</v>
      </c>
      <c r="R17" s="6"/>
      <c r="S17" s="6"/>
    </row>
    <row r="20" spans="1:19" x14ac:dyDescent="0.25">
      <c r="A20" t="s">
        <v>12</v>
      </c>
      <c r="C20" s="7">
        <v>6132182</v>
      </c>
      <c r="D20" s="7">
        <v>9444500</v>
      </c>
      <c r="E20" s="7">
        <v>7550000</v>
      </c>
      <c r="F20" s="7">
        <v>4537602</v>
      </c>
      <c r="G20" s="7">
        <v>2330636</v>
      </c>
      <c r="H20" s="7">
        <v>6799918</v>
      </c>
      <c r="I20" s="7">
        <v>5249589</v>
      </c>
      <c r="J20" s="7">
        <v>6571754</v>
      </c>
      <c r="K20" s="7">
        <v>16062365</v>
      </c>
      <c r="L20" s="7">
        <v>3000000</v>
      </c>
      <c r="M20" s="7">
        <v>4878559</v>
      </c>
      <c r="N20" s="7">
        <v>5843112</v>
      </c>
      <c r="O20" s="7">
        <v>3850000</v>
      </c>
      <c r="P20" s="7">
        <v>35640000</v>
      </c>
      <c r="Q20" s="7">
        <v>19850000</v>
      </c>
      <c r="R20" s="7"/>
      <c r="S20" s="7"/>
    </row>
    <row r="21" spans="1:19" ht="17.25" x14ac:dyDescent="0.4">
      <c r="A21" t="s">
        <v>13</v>
      </c>
      <c r="C21" s="8">
        <v>7900000</v>
      </c>
      <c r="D21" s="8">
        <v>14530000</v>
      </c>
      <c r="E21" s="8">
        <v>10100000</v>
      </c>
      <c r="F21" s="8">
        <v>6216250</v>
      </c>
      <c r="G21" s="8">
        <v>4900000</v>
      </c>
      <c r="H21" s="8">
        <v>8500000</v>
      </c>
      <c r="I21" s="8">
        <v>6600000</v>
      </c>
      <c r="J21" s="8">
        <v>9600000</v>
      </c>
      <c r="K21" s="8">
        <v>16800000</v>
      </c>
      <c r="L21" s="8">
        <v>4941176</v>
      </c>
      <c r="M21" s="8">
        <v>9000000</v>
      </c>
      <c r="N21" s="8">
        <v>10600000</v>
      </c>
      <c r="O21" s="8">
        <v>5150000</v>
      </c>
      <c r="P21" s="8">
        <v>59400000</v>
      </c>
      <c r="Q21" s="8">
        <v>35700000</v>
      </c>
      <c r="R21" s="8"/>
      <c r="S21" s="8"/>
    </row>
    <row r="22" spans="1:19" x14ac:dyDescent="0.25">
      <c r="A22" t="s">
        <v>14</v>
      </c>
      <c r="C22" s="10">
        <f>C20/C21</f>
        <v>0.77622556962025313</v>
      </c>
      <c r="D22" s="10">
        <f>D20/D21</f>
        <v>0.65</v>
      </c>
      <c r="E22" s="10">
        <f>E20/E21</f>
        <v>0.74752475247524752</v>
      </c>
      <c r="F22" s="10">
        <f t="shared" ref="F22:N22" si="15">F20/F21</f>
        <v>0.7299580937060125</v>
      </c>
      <c r="G22" s="10">
        <f t="shared" si="15"/>
        <v>0.47564000000000001</v>
      </c>
      <c r="H22" s="10">
        <f t="shared" si="15"/>
        <v>0.79999035294117649</v>
      </c>
      <c r="I22" s="10">
        <f t="shared" si="15"/>
        <v>0.79539227272727275</v>
      </c>
      <c r="J22" s="10">
        <f t="shared" si="15"/>
        <v>0.68455770833333329</v>
      </c>
      <c r="K22" s="10">
        <f t="shared" si="15"/>
        <v>0.95609315476190471</v>
      </c>
      <c r="L22" s="10">
        <f t="shared" si="15"/>
        <v>0.60714291496599193</v>
      </c>
      <c r="M22" s="10">
        <f t="shared" si="15"/>
        <v>0.54206211111111113</v>
      </c>
      <c r="N22" s="10">
        <f t="shared" si="15"/>
        <v>0.55123698113207542</v>
      </c>
      <c r="O22" s="10">
        <f t="shared" ref="O22" si="16">O20/O21</f>
        <v>0.74757281553398058</v>
      </c>
      <c r="P22" s="10">
        <f t="shared" ref="P22" si="17">P20/P21</f>
        <v>0.6</v>
      </c>
      <c r="Q22" s="10">
        <f t="shared" ref="Q22" si="18">Q20/Q21</f>
        <v>0.55602240896358546</v>
      </c>
      <c r="R22" s="10"/>
      <c r="S22" s="1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48EF-1D65-4A3F-9B91-39D8078AFB61}">
  <dimension ref="A1:AC25"/>
  <sheetViews>
    <sheetView workbookViewId="0">
      <pane xSplit="1" topLeftCell="B1" activePane="topRight" state="frozen"/>
      <selection pane="topRight" activeCell="F31" sqref="F31"/>
    </sheetView>
  </sheetViews>
  <sheetFormatPr defaultRowHeight="15" x14ac:dyDescent="0.25"/>
  <cols>
    <col min="1" max="1" width="38.85546875" customWidth="1"/>
    <col min="3" max="3" width="17.140625" customWidth="1"/>
    <col min="4" max="4" width="15.85546875" customWidth="1"/>
    <col min="5" max="5" width="15.5703125" customWidth="1"/>
    <col min="6" max="14" width="20.42578125" customWidth="1"/>
    <col min="15" max="15" width="20.28515625" customWidth="1"/>
    <col min="16" max="17" width="20.42578125" customWidth="1"/>
    <col min="18" max="18" width="21" customWidth="1"/>
    <col min="19" max="19" width="21.42578125" customWidth="1"/>
    <col min="20" max="30" width="20.42578125" customWidth="1"/>
  </cols>
  <sheetData>
    <row r="1" spans="1:29" x14ac:dyDescent="0.25">
      <c r="A1" s="11"/>
      <c r="B1" s="11" t="s">
        <v>22</v>
      </c>
      <c r="C1" t="s">
        <v>79</v>
      </c>
    </row>
    <row r="2" spans="1:29" x14ac:dyDescent="0.25">
      <c r="A2" s="11"/>
      <c r="B2" s="11" t="s">
        <v>25</v>
      </c>
      <c r="C2" t="s">
        <v>45</v>
      </c>
    </row>
    <row r="3" spans="1:29" x14ac:dyDescent="0.25">
      <c r="A3" s="11"/>
      <c r="B3" s="11" t="s">
        <v>78</v>
      </c>
      <c r="C3" s="35" t="s">
        <v>26</v>
      </c>
      <c r="D3" s="12">
        <v>44926</v>
      </c>
      <c r="E3" s="12">
        <v>44926</v>
      </c>
      <c r="F3" s="12">
        <v>44926</v>
      </c>
      <c r="G3" s="12">
        <v>44926</v>
      </c>
      <c r="H3" s="12">
        <v>44926</v>
      </c>
      <c r="I3" s="12">
        <v>44926</v>
      </c>
      <c r="J3" s="12">
        <v>44926</v>
      </c>
      <c r="K3" s="12">
        <v>44926</v>
      </c>
      <c r="L3" s="12">
        <v>44926</v>
      </c>
      <c r="M3" s="12">
        <v>44926</v>
      </c>
      <c r="N3" s="12">
        <v>44926</v>
      </c>
      <c r="O3" s="12">
        <v>44926</v>
      </c>
      <c r="P3" s="12">
        <v>44926</v>
      </c>
      <c r="Q3" s="12">
        <v>44926</v>
      </c>
      <c r="R3" s="12">
        <v>44926</v>
      </c>
      <c r="S3" s="12">
        <v>44926</v>
      </c>
      <c r="T3" s="12">
        <v>44926</v>
      </c>
      <c r="U3" s="12">
        <v>44926</v>
      </c>
      <c r="V3" s="12">
        <v>44926</v>
      </c>
      <c r="W3" s="12">
        <v>44926</v>
      </c>
      <c r="X3" s="12">
        <v>44926</v>
      </c>
      <c r="Y3" s="12">
        <v>44926</v>
      </c>
      <c r="Z3" s="12">
        <v>44926</v>
      </c>
      <c r="AA3" s="12">
        <v>44926</v>
      </c>
      <c r="AB3" s="12">
        <v>44926</v>
      </c>
    </row>
    <row r="4" spans="1:29" x14ac:dyDescent="0.25">
      <c r="A4" s="5" t="s">
        <v>0</v>
      </c>
      <c r="C4" s="1">
        <v>236648</v>
      </c>
      <c r="D4" s="1">
        <v>575579</v>
      </c>
      <c r="E4" s="1">
        <v>412686</v>
      </c>
      <c r="F4" s="1">
        <v>2667470</v>
      </c>
      <c r="G4" s="1">
        <v>1181020</v>
      </c>
      <c r="H4" s="1">
        <v>1412021</v>
      </c>
      <c r="I4" s="1">
        <v>1503296</v>
      </c>
      <c r="J4" s="1">
        <v>2220551</v>
      </c>
      <c r="K4" s="1">
        <v>743000</v>
      </c>
      <c r="L4" s="1">
        <v>874675</v>
      </c>
      <c r="M4" s="1">
        <v>824700</v>
      </c>
      <c r="N4" s="1">
        <v>1676981</v>
      </c>
      <c r="O4" s="1">
        <v>1047649</v>
      </c>
      <c r="P4" s="1">
        <v>899000</v>
      </c>
      <c r="Q4" s="1">
        <v>1615534</v>
      </c>
      <c r="R4" s="1">
        <v>2787335</v>
      </c>
      <c r="S4" s="1">
        <v>373359</v>
      </c>
      <c r="T4" s="1">
        <v>402998</v>
      </c>
      <c r="U4" s="1">
        <v>701862</v>
      </c>
      <c r="V4" s="1">
        <v>1752681</v>
      </c>
      <c r="W4" s="1">
        <v>1077136</v>
      </c>
      <c r="X4" s="1">
        <v>827180</v>
      </c>
      <c r="Y4" s="1">
        <v>680559</v>
      </c>
      <c r="Z4" s="1">
        <v>577965</v>
      </c>
      <c r="AA4" s="1">
        <v>721434</v>
      </c>
      <c r="AB4" s="1">
        <v>280998</v>
      </c>
      <c r="AC4" s="1"/>
    </row>
    <row r="5" spans="1:29" x14ac:dyDescent="0.25">
      <c r="A5" s="5" t="s">
        <v>1</v>
      </c>
      <c r="C5" s="1">
        <v>236648</v>
      </c>
      <c r="D5" s="1">
        <v>575579</v>
      </c>
      <c r="E5" s="1">
        <v>412686</v>
      </c>
      <c r="F5" s="1">
        <v>2667470</v>
      </c>
      <c r="G5" s="1">
        <v>1181020</v>
      </c>
      <c r="H5" s="1">
        <v>1412021</v>
      </c>
      <c r="I5" s="1">
        <v>1503296</v>
      </c>
      <c r="J5" s="1">
        <v>2220551</v>
      </c>
      <c r="K5" s="1">
        <v>743000</v>
      </c>
      <c r="L5" s="1">
        <v>874675</v>
      </c>
      <c r="M5" s="1">
        <v>824700</v>
      </c>
      <c r="N5" s="1">
        <v>1676981</v>
      </c>
      <c r="O5" s="1">
        <v>1047649</v>
      </c>
      <c r="P5" s="1">
        <v>899000</v>
      </c>
      <c r="Q5" s="1">
        <v>1615534</v>
      </c>
      <c r="R5" s="1">
        <v>2787335</v>
      </c>
      <c r="S5" s="1">
        <v>373359</v>
      </c>
      <c r="T5" s="1">
        <v>402998</v>
      </c>
      <c r="U5" s="1">
        <v>701862</v>
      </c>
      <c r="V5" s="1">
        <v>1752681</v>
      </c>
      <c r="W5" s="1">
        <v>1077136</v>
      </c>
      <c r="X5" s="1">
        <v>827180</v>
      </c>
      <c r="Y5" s="1">
        <v>680559</v>
      </c>
      <c r="Z5" s="1">
        <v>577965</v>
      </c>
      <c r="AA5" s="1">
        <v>721434</v>
      </c>
      <c r="AB5" s="1">
        <v>280998</v>
      </c>
      <c r="AC5" s="1"/>
    </row>
    <row r="6" spans="1:29" x14ac:dyDescent="0.25">
      <c r="A6" s="5" t="s">
        <v>2</v>
      </c>
      <c r="C6" s="2">
        <f>52509-24500</f>
        <v>28009</v>
      </c>
      <c r="D6" s="2">
        <v>-130354</v>
      </c>
      <c r="E6" s="2">
        <f>220861-100000</f>
        <v>120861</v>
      </c>
      <c r="F6" s="2">
        <f>1774390-1040708</f>
        <v>733682</v>
      </c>
      <c r="G6" s="2">
        <f>710227-440641</f>
        <v>269586</v>
      </c>
      <c r="H6" s="2">
        <v>-543777</v>
      </c>
      <c r="I6" s="2">
        <f>1061500-527498</f>
        <v>534002</v>
      </c>
      <c r="J6" s="2">
        <v>-490772</v>
      </c>
      <c r="K6" s="2">
        <v>-320000</v>
      </c>
      <c r="L6" s="2">
        <v>-375736</v>
      </c>
      <c r="M6" s="2">
        <f>370900-520800-413600</f>
        <v>-563500</v>
      </c>
      <c r="N6" s="2">
        <v>186816</v>
      </c>
      <c r="O6" s="2">
        <v>-772035</v>
      </c>
      <c r="P6" s="2">
        <f>373000-435364</f>
        <v>-62364</v>
      </c>
      <c r="Q6" s="2">
        <v>-171655</v>
      </c>
      <c r="R6" s="2">
        <v>-988858</v>
      </c>
      <c r="S6" s="2">
        <f>192447-139310</f>
        <v>53137</v>
      </c>
      <c r="T6" s="2">
        <v>-145064</v>
      </c>
      <c r="U6" s="2">
        <v>-305871</v>
      </c>
      <c r="V6" s="2">
        <f>1298063-877109</f>
        <v>420954</v>
      </c>
      <c r="W6" s="2">
        <v>-502356</v>
      </c>
      <c r="X6" s="2">
        <v>19505</v>
      </c>
      <c r="Y6" s="2">
        <v>-106297</v>
      </c>
      <c r="Z6" s="2">
        <v>-36168</v>
      </c>
      <c r="AA6" s="2">
        <v>-309185</v>
      </c>
      <c r="AB6" s="2">
        <f>172352-78150</f>
        <v>94202</v>
      </c>
      <c r="AC6" s="2"/>
    </row>
    <row r="7" spans="1:29" x14ac:dyDescent="0.25">
      <c r="A7" s="5" t="s">
        <v>3</v>
      </c>
      <c r="C7" s="2">
        <v>0</v>
      </c>
      <c r="D7" s="2">
        <v>248681</v>
      </c>
      <c r="E7" s="2">
        <v>0</v>
      </c>
      <c r="F7" s="2">
        <v>0</v>
      </c>
      <c r="G7" s="2">
        <v>0</v>
      </c>
      <c r="H7" s="2">
        <v>750609</v>
      </c>
      <c r="I7" s="2">
        <v>0</v>
      </c>
      <c r="J7" s="2">
        <v>875440</v>
      </c>
      <c r="K7" s="2">
        <v>390300</v>
      </c>
      <c r="L7" s="2">
        <v>388864</v>
      </c>
      <c r="M7" s="2">
        <v>520800</v>
      </c>
      <c r="N7" s="2">
        <v>0</v>
      </c>
      <c r="O7" s="2">
        <v>554995</v>
      </c>
      <c r="P7" s="2">
        <v>0</v>
      </c>
      <c r="Q7" s="2">
        <v>609981</v>
      </c>
      <c r="R7" s="2">
        <v>1366583</v>
      </c>
      <c r="S7" s="2">
        <v>0</v>
      </c>
      <c r="T7" s="2">
        <v>287544</v>
      </c>
      <c r="U7" s="2">
        <v>364827</v>
      </c>
      <c r="V7" s="2">
        <v>0</v>
      </c>
      <c r="W7" s="2">
        <v>435855</v>
      </c>
      <c r="X7" s="2">
        <v>274128</v>
      </c>
      <c r="Y7" s="2">
        <v>171475</v>
      </c>
      <c r="Z7" s="2">
        <v>148858</v>
      </c>
      <c r="AA7" s="2">
        <v>326509</v>
      </c>
      <c r="AB7" s="2">
        <v>0</v>
      </c>
      <c r="AC7" s="2"/>
    </row>
    <row r="8" spans="1:29" x14ac:dyDescent="0.25">
      <c r="A8" s="5" t="s">
        <v>4</v>
      </c>
      <c r="C8" s="2">
        <f>+C7+C6</f>
        <v>28009</v>
      </c>
      <c r="D8" s="2">
        <f>+D7+D6</f>
        <v>118327</v>
      </c>
      <c r="E8" s="2">
        <f>+E7+E6</f>
        <v>120861</v>
      </c>
      <c r="F8" s="2">
        <f t="shared" ref="F8:AB8" si="0">+F7+F6</f>
        <v>733682</v>
      </c>
      <c r="G8" s="2">
        <f t="shared" si="0"/>
        <v>269586</v>
      </c>
      <c r="H8" s="2">
        <f t="shared" si="0"/>
        <v>206832</v>
      </c>
      <c r="I8" s="2">
        <f t="shared" si="0"/>
        <v>534002</v>
      </c>
      <c r="J8" s="2">
        <f t="shared" si="0"/>
        <v>384668</v>
      </c>
      <c r="K8" s="2">
        <f t="shared" si="0"/>
        <v>70300</v>
      </c>
      <c r="L8" s="2">
        <f t="shared" si="0"/>
        <v>13128</v>
      </c>
      <c r="M8" s="2">
        <f t="shared" si="0"/>
        <v>-42700</v>
      </c>
      <c r="N8" s="2">
        <f t="shared" si="0"/>
        <v>186816</v>
      </c>
      <c r="O8" s="2">
        <f t="shared" si="0"/>
        <v>-217040</v>
      </c>
      <c r="P8" s="2">
        <f t="shared" si="0"/>
        <v>-62364</v>
      </c>
      <c r="Q8" s="2">
        <f t="shared" si="0"/>
        <v>438326</v>
      </c>
      <c r="R8" s="2">
        <f t="shared" si="0"/>
        <v>377725</v>
      </c>
      <c r="S8" s="2">
        <f t="shared" si="0"/>
        <v>53137</v>
      </c>
      <c r="T8" s="2">
        <f t="shared" si="0"/>
        <v>142480</v>
      </c>
      <c r="U8" s="2">
        <f t="shared" si="0"/>
        <v>58956</v>
      </c>
      <c r="V8" s="2">
        <f t="shared" si="0"/>
        <v>420954</v>
      </c>
      <c r="W8" s="2">
        <f t="shared" si="0"/>
        <v>-66501</v>
      </c>
      <c r="X8" s="2">
        <f t="shared" si="0"/>
        <v>293633</v>
      </c>
      <c r="Y8" s="2">
        <f t="shared" si="0"/>
        <v>65178</v>
      </c>
      <c r="Z8" s="2">
        <f t="shared" si="0"/>
        <v>112690</v>
      </c>
      <c r="AA8" s="2">
        <f t="shared" si="0"/>
        <v>17324</v>
      </c>
      <c r="AB8" s="2">
        <f t="shared" si="0"/>
        <v>94202</v>
      </c>
      <c r="AC8" s="2"/>
    </row>
    <row r="9" spans="1:29" x14ac:dyDescent="0.25">
      <c r="A9" s="5" t="s">
        <v>5</v>
      </c>
      <c r="C9" s="2">
        <v>24500</v>
      </c>
      <c r="D9" s="2">
        <v>350327</v>
      </c>
      <c r="E9" s="2">
        <v>100000</v>
      </c>
      <c r="F9" s="2">
        <v>1040708</v>
      </c>
      <c r="G9" s="2">
        <v>440641</v>
      </c>
      <c r="H9" s="2">
        <v>563953</v>
      </c>
      <c r="I9" s="2">
        <v>527498</v>
      </c>
      <c r="J9" s="2">
        <v>992090</v>
      </c>
      <c r="K9" s="2">
        <v>388700</v>
      </c>
      <c r="L9" s="2">
        <v>445271</v>
      </c>
      <c r="M9" s="2">
        <v>413600</v>
      </c>
      <c r="N9" s="2">
        <v>597111</v>
      </c>
      <c r="O9" s="2">
        <v>649052</v>
      </c>
      <c r="P9" s="2">
        <v>435364</v>
      </c>
      <c r="Q9" s="2">
        <v>462501</v>
      </c>
      <c r="R9" s="2">
        <v>1075387</v>
      </c>
      <c r="S9" s="2">
        <v>139310</v>
      </c>
      <c r="T9" s="2">
        <v>73822</v>
      </c>
      <c r="U9" s="2">
        <v>307680</v>
      </c>
      <c r="V9" s="2">
        <v>877109</v>
      </c>
      <c r="W9" s="2">
        <v>509731</v>
      </c>
      <c r="X9" s="2">
        <v>384334</v>
      </c>
      <c r="Y9" s="2">
        <v>149498</v>
      </c>
      <c r="Z9" s="2">
        <v>160366</v>
      </c>
      <c r="AA9" s="2">
        <v>287029</v>
      </c>
      <c r="AB9" s="2">
        <v>78150</v>
      </c>
      <c r="AC9" s="2"/>
    </row>
    <row r="10" spans="1:29" x14ac:dyDescent="0.25">
      <c r="A10" s="34" t="s">
        <v>6</v>
      </c>
      <c r="C10" s="2">
        <v>0</v>
      </c>
      <c r="D10" s="2">
        <v>0</v>
      </c>
      <c r="E10" s="2">
        <v>0</v>
      </c>
      <c r="F10" s="2">
        <v>0</v>
      </c>
      <c r="G10" s="2">
        <v>0</v>
      </c>
      <c r="H10" s="2">
        <v>467440</v>
      </c>
      <c r="I10" s="2">
        <v>0</v>
      </c>
      <c r="J10" s="2">
        <v>304000</v>
      </c>
      <c r="K10" s="2">
        <v>0</v>
      </c>
      <c r="L10" s="2">
        <v>0</v>
      </c>
      <c r="M10" s="2">
        <v>0</v>
      </c>
      <c r="N10" s="2">
        <v>0</v>
      </c>
      <c r="O10" s="2">
        <v>2120325</v>
      </c>
      <c r="P10" s="2">
        <v>0</v>
      </c>
      <c r="Q10" s="2">
        <v>0</v>
      </c>
      <c r="R10" s="2">
        <f>190395-988858</f>
        <v>-798463</v>
      </c>
      <c r="S10" s="2">
        <v>0</v>
      </c>
      <c r="T10" s="2">
        <v>0</v>
      </c>
      <c r="U10" s="2">
        <v>0</v>
      </c>
      <c r="V10" s="2">
        <v>0</v>
      </c>
      <c r="W10" s="2">
        <v>0</v>
      </c>
      <c r="X10" s="2">
        <v>2854</v>
      </c>
      <c r="Y10" s="2">
        <v>0</v>
      </c>
      <c r="Z10" s="2">
        <v>0</v>
      </c>
      <c r="AA10" s="2">
        <v>0</v>
      </c>
      <c r="AB10" s="2">
        <v>0</v>
      </c>
      <c r="AC10" s="2"/>
    </row>
    <row r="11" spans="1:29" x14ac:dyDescent="0.25">
      <c r="A11" s="5" t="s">
        <v>7</v>
      </c>
      <c r="C11" s="3">
        <f>+C9+C8+C10</f>
        <v>52509</v>
      </c>
      <c r="D11" s="3">
        <f>+D9+D8+D10</f>
        <v>468654</v>
      </c>
      <c r="E11" s="3">
        <f>+E9+E8+E10</f>
        <v>220861</v>
      </c>
      <c r="F11" s="3">
        <f t="shared" ref="F11:AB11" si="1">+F9+F8+F10</f>
        <v>1774390</v>
      </c>
      <c r="G11" s="3">
        <f t="shared" si="1"/>
        <v>710227</v>
      </c>
      <c r="H11" s="3">
        <f t="shared" si="1"/>
        <v>1238225</v>
      </c>
      <c r="I11" s="3">
        <f t="shared" si="1"/>
        <v>1061500</v>
      </c>
      <c r="J11" s="3">
        <f t="shared" si="1"/>
        <v>1680758</v>
      </c>
      <c r="K11" s="3">
        <f t="shared" si="1"/>
        <v>459000</v>
      </c>
      <c r="L11" s="3">
        <f t="shared" si="1"/>
        <v>458399</v>
      </c>
      <c r="M11" s="3">
        <f t="shared" si="1"/>
        <v>370900</v>
      </c>
      <c r="N11" s="3">
        <f t="shared" si="1"/>
        <v>783927</v>
      </c>
      <c r="O11" s="3">
        <f t="shared" si="1"/>
        <v>2552337</v>
      </c>
      <c r="P11" s="3">
        <f t="shared" si="1"/>
        <v>373000</v>
      </c>
      <c r="Q11" s="3">
        <f t="shared" si="1"/>
        <v>900827</v>
      </c>
      <c r="R11" s="3">
        <f t="shared" si="1"/>
        <v>654649</v>
      </c>
      <c r="S11" s="3">
        <f t="shared" si="1"/>
        <v>192447</v>
      </c>
      <c r="T11" s="3">
        <f t="shared" si="1"/>
        <v>216302</v>
      </c>
      <c r="U11" s="3">
        <f t="shared" si="1"/>
        <v>366636</v>
      </c>
      <c r="V11" s="3">
        <f t="shared" si="1"/>
        <v>1298063</v>
      </c>
      <c r="W11" s="3">
        <f t="shared" si="1"/>
        <v>443230</v>
      </c>
      <c r="X11" s="3">
        <f t="shared" si="1"/>
        <v>680821</v>
      </c>
      <c r="Y11" s="3">
        <f t="shared" si="1"/>
        <v>214676</v>
      </c>
      <c r="Z11" s="3">
        <f t="shared" si="1"/>
        <v>273056</v>
      </c>
      <c r="AA11" s="3">
        <f t="shared" si="1"/>
        <v>304353</v>
      </c>
      <c r="AB11" s="3">
        <f t="shared" si="1"/>
        <v>172352</v>
      </c>
      <c r="AC11" s="3"/>
    </row>
    <row r="12" spans="1:29" x14ac:dyDescent="0.25">
      <c r="A12" s="5" t="s">
        <v>8</v>
      </c>
      <c r="C12" s="2">
        <v>32572</v>
      </c>
      <c r="D12" s="2">
        <v>650937</v>
      </c>
      <c r="E12" s="2">
        <v>174352</v>
      </c>
      <c r="F12" s="2">
        <v>1494924</v>
      </c>
      <c r="G12" s="2">
        <v>567720</v>
      </c>
      <c r="H12" s="2">
        <v>958032</v>
      </c>
      <c r="I12" s="2">
        <v>786624</v>
      </c>
      <c r="J12" s="2">
        <v>1362000</v>
      </c>
      <c r="K12" s="2">
        <v>903000</v>
      </c>
      <c r="L12" s="2">
        <v>655920</v>
      </c>
      <c r="M12" s="2">
        <v>650200</v>
      </c>
      <c r="N12" s="2">
        <v>1036563</v>
      </c>
      <c r="O12" s="2">
        <v>1028628</v>
      </c>
      <c r="P12" s="2">
        <v>596000</v>
      </c>
      <c r="Q12" s="2">
        <v>838635</v>
      </c>
      <c r="R12" s="2">
        <v>1223193</v>
      </c>
      <c r="S12" s="2">
        <v>261437</v>
      </c>
      <c r="T12" s="2">
        <v>376164</v>
      </c>
      <c r="U12" s="2">
        <v>700634</v>
      </c>
      <c r="V12" s="2">
        <v>1201385</v>
      </c>
      <c r="W12" s="2">
        <v>627816</v>
      </c>
      <c r="X12" s="2">
        <v>565177</v>
      </c>
      <c r="Y12" s="2">
        <v>300504</v>
      </c>
      <c r="Z12" s="2">
        <v>305236</v>
      </c>
      <c r="AA12" s="2">
        <v>442884</v>
      </c>
      <c r="AB12" s="2">
        <v>141472</v>
      </c>
      <c r="AC12" s="2"/>
    </row>
    <row r="13" spans="1:29" x14ac:dyDescent="0.25">
      <c r="A13" s="5" t="s">
        <v>9</v>
      </c>
      <c r="C13" s="4">
        <f>(C8+C9)/C12</f>
        <v>1.6120901387694953</v>
      </c>
      <c r="D13" s="4">
        <f>(D8+D9)/D12</f>
        <v>0.71996829186234612</v>
      </c>
      <c r="E13" s="4">
        <f>(E8+E9)/E12</f>
        <v>1.2667534642562173</v>
      </c>
      <c r="F13" s="4">
        <f t="shared" ref="F13:AB13" si="2">(F8+F9)/F12</f>
        <v>1.1869432827354434</v>
      </c>
      <c r="G13" s="4">
        <f t="shared" si="2"/>
        <v>1.2510163460860988</v>
      </c>
      <c r="H13" s="4">
        <f t="shared" si="2"/>
        <v>0.80455036992501294</v>
      </c>
      <c r="I13" s="4">
        <f t="shared" si="2"/>
        <v>1.3494375966154097</v>
      </c>
      <c r="J13" s="4">
        <f t="shared" si="2"/>
        <v>1.0108355359765051</v>
      </c>
      <c r="K13" s="4">
        <f t="shared" si="2"/>
        <v>0.50830564784053156</v>
      </c>
      <c r="L13" s="4">
        <f t="shared" si="2"/>
        <v>0.69886419075497008</v>
      </c>
      <c r="M13" s="4">
        <f t="shared" si="2"/>
        <v>0.57043986465702856</v>
      </c>
      <c r="N13" s="4">
        <f t="shared" si="2"/>
        <v>0.75627530598719039</v>
      </c>
      <c r="O13" s="4">
        <f t="shared" si="2"/>
        <v>0.41998856729546541</v>
      </c>
      <c r="P13" s="4">
        <f t="shared" si="2"/>
        <v>0.62583892617449666</v>
      </c>
      <c r="Q13" s="4">
        <f t="shared" si="2"/>
        <v>1.0741586029679182</v>
      </c>
      <c r="R13" s="4">
        <f t="shared" si="2"/>
        <v>1.1879662489893255</v>
      </c>
      <c r="S13" s="4">
        <f t="shared" si="2"/>
        <v>0.73611233299035717</v>
      </c>
      <c r="T13" s="4">
        <f t="shared" si="2"/>
        <v>0.57502046979508936</v>
      </c>
      <c r="U13" s="4">
        <f t="shared" si="2"/>
        <v>0.52329176146176182</v>
      </c>
      <c r="V13" s="4">
        <f t="shared" si="2"/>
        <v>1.0804721217594693</v>
      </c>
      <c r="W13" s="4">
        <f t="shared" si="2"/>
        <v>0.70598710450195601</v>
      </c>
      <c r="X13" s="4">
        <f t="shared" si="2"/>
        <v>1.1995657997406122</v>
      </c>
      <c r="Y13" s="4">
        <f t="shared" si="2"/>
        <v>0.71438649735111681</v>
      </c>
      <c r="Z13" s="4">
        <f t="shared" si="2"/>
        <v>0.89457337928684688</v>
      </c>
      <c r="AA13" s="4">
        <f t="shared" si="2"/>
        <v>0.6872070338960089</v>
      </c>
      <c r="AB13" s="4">
        <f t="shared" si="2"/>
        <v>1.2182764080524768</v>
      </c>
      <c r="AC13" s="4"/>
    </row>
    <row r="14" spans="1:29" x14ac:dyDescent="0.25">
      <c r="A14" s="5" t="s">
        <v>10</v>
      </c>
      <c r="C14" s="4">
        <f>C11/C12</f>
        <v>1.6120901387694953</v>
      </c>
      <c r="D14" s="4">
        <f>D11/D12</f>
        <v>0.71996829186234612</v>
      </c>
      <c r="E14" s="4">
        <f>E11/E12</f>
        <v>1.2667534642562173</v>
      </c>
      <c r="F14" s="4">
        <f t="shared" ref="F14:AB14" si="3">F11/F12</f>
        <v>1.1869432827354434</v>
      </c>
      <c r="G14" s="4">
        <f t="shared" si="3"/>
        <v>1.2510163460860988</v>
      </c>
      <c r="H14" s="4">
        <f t="shared" si="3"/>
        <v>1.292467266229103</v>
      </c>
      <c r="I14" s="4">
        <f t="shared" si="3"/>
        <v>1.3494375966154097</v>
      </c>
      <c r="J14" s="4">
        <f t="shared" si="3"/>
        <v>1.23403671071953</v>
      </c>
      <c r="K14" s="4">
        <f t="shared" si="3"/>
        <v>0.50830564784053156</v>
      </c>
      <c r="L14" s="4">
        <f t="shared" si="3"/>
        <v>0.69886419075497008</v>
      </c>
      <c r="M14" s="4">
        <f t="shared" si="3"/>
        <v>0.57043986465702856</v>
      </c>
      <c r="N14" s="4">
        <f t="shared" si="3"/>
        <v>0.75627530598719039</v>
      </c>
      <c r="O14" s="4">
        <f t="shared" si="3"/>
        <v>2.4813022783746894</v>
      </c>
      <c r="P14" s="4">
        <f t="shared" si="3"/>
        <v>0.62583892617449666</v>
      </c>
      <c r="Q14" s="4">
        <f t="shared" si="3"/>
        <v>1.0741586029679182</v>
      </c>
      <c r="R14" s="4">
        <f t="shared" si="3"/>
        <v>0.53519681685555753</v>
      </c>
      <c r="S14" s="4">
        <f t="shared" si="3"/>
        <v>0.73611233299035717</v>
      </c>
      <c r="T14" s="4">
        <f t="shared" si="3"/>
        <v>0.57502046979508936</v>
      </c>
      <c r="U14" s="4">
        <f t="shared" si="3"/>
        <v>0.52329176146176182</v>
      </c>
      <c r="V14" s="4">
        <f t="shared" si="3"/>
        <v>1.0804721217594693</v>
      </c>
      <c r="W14" s="4">
        <f t="shared" si="3"/>
        <v>0.70598710450195601</v>
      </c>
      <c r="X14" s="4">
        <f t="shared" si="3"/>
        <v>1.2046155452185776</v>
      </c>
      <c r="Y14" s="4">
        <f t="shared" si="3"/>
        <v>0.71438649735111681</v>
      </c>
      <c r="Z14" s="4">
        <f t="shared" si="3"/>
        <v>0.89457337928684688</v>
      </c>
      <c r="AA14" s="4">
        <f t="shared" si="3"/>
        <v>0.6872070338960089</v>
      </c>
      <c r="AB14" s="4">
        <f t="shared" si="3"/>
        <v>1.2182764080524768</v>
      </c>
      <c r="AC14" s="4"/>
    </row>
    <row r="16" spans="1:29" x14ac:dyDescent="0.25">
      <c r="A16" s="5" t="s">
        <v>11</v>
      </c>
      <c r="C16" s="6">
        <f t="shared" ref="C16:AC16" si="4">C5-C6</f>
        <v>208639</v>
      </c>
      <c r="D16" s="6">
        <f t="shared" si="4"/>
        <v>705933</v>
      </c>
      <c r="E16" s="6">
        <f t="shared" si="4"/>
        <v>291825</v>
      </c>
      <c r="F16" s="6">
        <f t="shared" si="4"/>
        <v>1933788</v>
      </c>
      <c r="G16" s="6">
        <f t="shared" si="4"/>
        <v>911434</v>
      </c>
      <c r="H16" s="6">
        <f t="shared" si="4"/>
        <v>1955798</v>
      </c>
      <c r="I16" s="6">
        <f t="shared" si="4"/>
        <v>969294</v>
      </c>
      <c r="J16" s="6">
        <f t="shared" si="4"/>
        <v>2711323</v>
      </c>
      <c r="K16" s="6">
        <f t="shared" si="4"/>
        <v>1063000</v>
      </c>
      <c r="L16" s="6">
        <f t="shared" si="4"/>
        <v>1250411</v>
      </c>
      <c r="M16" s="6">
        <f t="shared" si="4"/>
        <v>1388200</v>
      </c>
      <c r="N16" s="6">
        <f t="shared" si="4"/>
        <v>1490165</v>
      </c>
      <c r="O16" s="6">
        <f t="shared" si="4"/>
        <v>1819684</v>
      </c>
      <c r="P16" s="6">
        <f t="shared" si="4"/>
        <v>961364</v>
      </c>
      <c r="Q16" s="6">
        <f t="shared" si="4"/>
        <v>1787189</v>
      </c>
      <c r="R16" s="6">
        <f t="shared" si="4"/>
        <v>3776193</v>
      </c>
      <c r="S16" s="6">
        <f t="shared" si="4"/>
        <v>320222</v>
      </c>
      <c r="T16" s="6">
        <f t="shared" si="4"/>
        <v>548062</v>
      </c>
      <c r="U16" s="6">
        <f t="shared" si="4"/>
        <v>1007733</v>
      </c>
      <c r="V16" s="6">
        <f t="shared" si="4"/>
        <v>1331727</v>
      </c>
      <c r="W16" s="6">
        <f t="shared" si="4"/>
        <v>1579492</v>
      </c>
      <c r="X16" s="6">
        <f t="shared" si="4"/>
        <v>807675</v>
      </c>
      <c r="Y16" s="6">
        <f t="shared" si="4"/>
        <v>786856</v>
      </c>
      <c r="Z16" s="6">
        <f t="shared" si="4"/>
        <v>614133</v>
      </c>
      <c r="AA16" s="6">
        <f t="shared" si="4"/>
        <v>1030619</v>
      </c>
      <c r="AB16" s="6">
        <f t="shared" si="4"/>
        <v>186796</v>
      </c>
      <c r="AC16" s="6">
        <f t="shared" si="4"/>
        <v>0</v>
      </c>
    </row>
    <row r="19" spans="1:29" x14ac:dyDescent="0.25">
      <c r="A19" t="s">
        <v>12</v>
      </c>
      <c r="C19" s="7">
        <v>800000</v>
      </c>
      <c r="D19" s="7">
        <v>2424254</v>
      </c>
      <c r="E19" s="7">
        <v>4000000</v>
      </c>
      <c r="F19" s="7">
        <v>21056070</v>
      </c>
      <c r="G19" s="7">
        <v>8812825</v>
      </c>
      <c r="H19" s="7">
        <v>11323534</v>
      </c>
      <c r="I19" s="7">
        <v>11853887</v>
      </c>
      <c r="J19" s="7">
        <v>15450707</v>
      </c>
      <c r="K19" s="7">
        <v>7774636.2599999998</v>
      </c>
      <c r="L19" s="7">
        <v>9647898</v>
      </c>
      <c r="M19" s="7">
        <v>8466449.5999999996</v>
      </c>
      <c r="N19" s="7">
        <v>13873188</v>
      </c>
      <c r="O19" s="7">
        <v>12362473</v>
      </c>
      <c r="P19" s="7">
        <v>8707286</v>
      </c>
      <c r="Q19" s="7">
        <v>8520790</v>
      </c>
      <c r="R19" s="7">
        <v>14409803</v>
      </c>
      <c r="S19" s="7">
        <v>2705058</v>
      </c>
      <c r="T19" s="7">
        <v>4346942</v>
      </c>
      <c r="U19" s="7">
        <v>6517399</v>
      </c>
      <c r="V19" s="7">
        <v>16706844</v>
      </c>
      <c r="W19" s="7">
        <v>8858505</v>
      </c>
      <c r="X19" s="7">
        <v>7925000</v>
      </c>
      <c r="Y19" s="7">
        <v>3295884</v>
      </c>
      <c r="Z19" s="7">
        <v>3819691</v>
      </c>
      <c r="AA19" s="7">
        <v>5711198</v>
      </c>
      <c r="AB19" s="7">
        <v>2575000</v>
      </c>
      <c r="AC19" s="7">
        <v>0</v>
      </c>
    </row>
    <row r="20" spans="1:29" ht="17.25" x14ac:dyDescent="0.4">
      <c r="A20" t="s">
        <v>13</v>
      </c>
      <c r="C20" s="8">
        <v>1400000</v>
      </c>
      <c r="D20" s="8">
        <v>3500000</v>
      </c>
      <c r="E20" s="8">
        <v>6220000</v>
      </c>
      <c r="F20" s="8">
        <v>28051405</v>
      </c>
      <c r="G20" s="8">
        <v>11750433</v>
      </c>
      <c r="H20" s="8">
        <v>15000000</v>
      </c>
      <c r="I20" s="8">
        <v>16000000</v>
      </c>
      <c r="J20" s="8">
        <v>22352498</v>
      </c>
      <c r="K20" s="8">
        <v>13890000</v>
      </c>
      <c r="L20" s="8">
        <v>14350000</v>
      </c>
      <c r="M20" s="8">
        <v>11970000</v>
      </c>
      <c r="N20" s="8">
        <v>15550000</v>
      </c>
      <c r="O20" s="8">
        <v>17336000</v>
      </c>
      <c r="P20" s="8">
        <v>8287000</v>
      </c>
      <c r="Q20" s="8">
        <v>12000000</v>
      </c>
      <c r="R20" s="8">
        <v>22046000</v>
      </c>
      <c r="S20" s="8">
        <v>4551000</v>
      </c>
      <c r="T20" s="8">
        <v>7030000</v>
      </c>
      <c r="U20" s="8">
        <v>5850000</v>
      </c>
      <c r="V20" s="8">
        <v>25700000</v>
      </c>
      <c r="W20" s="8">
        <v>12989000</v>
      </c>
      <c r="X20" s="8">
        <v>9870000</v>
      </c>
      <c r="Y20" s="8">
        <v>7950000</v>
      </c>
      <c r="Z20" s="8">
        <v>6100000</v>
      </c>
      <c r="AA20" s="8">
        <v>10450000</v>
      </c>
      <c r="AB20" s="8">
        <v>4050000</v>
      </c>
      <c r="AC20" s="8">
        <v>0</v>
      </c>
    </row>
    <row r="21" spans="1:29" x14ac:dyDescent="0.25">
      <c r="A21" t="s">
        <v>14</v>
      </c>
      <c r="C21" s="10">
        <f>C19/C20</f>
        <v>0.5714285714285714</v>
      </c>
      <c r="D21" s="10">
        <f>D19/D20</f>
        <v>0.69264400000000004</v>
      </c>
      <c r="E21" s="10">
        <f>E19/E20</f>
        <v>0.64308681672025725</v>
      </c>
      <c r="F21" s="10">
        <f t="shared" ref="F21:AC21" si="5">F19/F20</f>
        <v>0.75062443396328993</v>
      </c>
      <c r="G21" s="10">
        <f t="shared" si="5"/>
        <v>0.75000002127581167</v>
      </c>
      <c r="H21" s="10">
        <f t="shared" si="5"/>
        <v>0.75490226666666671</v>
      </c>
      <c r="I21" s="10">
        <f t="shared" si="5"/>
        <v>0.74086793750000002</v>
      </c>
      <c r="J21" s="10">
        <f t="shared" si="5"/>
        <v>0.69122954400890679</v>
      </c>
      <c r="K21" s="10">
        <f t="shared" si="5"/>
        <v>0.55972903239740823</v>
      </c>
      <c r="L21" s="10">
        <f t="shared" si="5"/>
        <v>0.67232738675958192</v>
      </c>
      <c r="M21" s="10">
        <f t="shared" si="5"/>
        <v>0.70730573099415206</v>
      </c>
      <c r="N21" s="10">
        <f t="shared" si="5"/>
        <v>0.89216643086816716</v>
      </c>
      <c r="O21" s="10">
        <f t="shared" si="5"/>
        <v>0.71310988694047073</v>
      </c>
      <c r="P21" s="10">
        <f t="shared" si="5"/>
        <v>1.0507163026426933</v>
      </c>
      <c r="Q21" s="10">
        <f t="shared" si="5"/>
        <v>0.71006583333333329</v>
      </c>
      <c r="R21" s="10">
        <f t="shared" si="5"/>
        <v>0.65362437630409143</v>
      </c>
      <c r="S21" s="10">
        <f t="shared" si="5"/>
        <v>0.59438760711931449</v>
      </c>
      <c r="T21" s="10">
        <f t="shared" si="5"/>
        <v>0.61834167852062594</v>
      </c>
      <c r="U21" s="10">
        <f t="shared" si="5"/>
        <v>1.1140852991452992</v>
      </c>
      <c r="V21" s="10">
        <f t="shared" si="5"/>
        <v>0.6500717509727626</v>
      </c>
      <c r="W21" s="10">
        <f t="shared" si="5"/>
        <v>0.68200053891754564</v>
      </c>
      <c r="X21" s="10">
        <f t="shared" si="5"/>
        <v>0.80293819655521781</v>
      </c>
      <c r="Y21" s="10">
        <f t="shared" si="5"/>
        <v>0.41457660377358491</v>
      </c>
      <c r="Z21" s="10">
        <f t="shared" si="5"/>
        <v>0.62617885245901639</v>
      </c>
      <c r="AA21" s="10">
        <f t="shared" si="5"/>
        <v>0.54652612440191384</v>
      </c>
      <c r="AB21" s="10">
        <f t="shared" si="5"/>
        <v>0.63580246913580252</v>
      </c>
      <c r="AC21" s="10" t="e">
        <f t="shared" si="5"/>
        <v>#DIV/0!</v>
      </c>
    </row>
    <row r="25" spans="1:29" x14ac:dyDescent="0.25">
      <c r="P25" t="s">
        <v>46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0172-5E20-473E-BF20-33308BADB955}">
  <dimension ref="A1:M21"/>
  <sheetViews>
    <sheetView workbookViewId="0">
      <selection activeCell="I7" sqref="I7"/>
    </sheetView>
  </sheetViews>
  <sheetFormatPr defaultRowHeight="15" x14ac:dyDescent="0.25"/>
  <cols>
    <col min="1" max="1" width="38.85546875" customWidth="1"/>
    <col min="3" max="3" width="17.140625" customWidth="1"/>
    <col min="4" max="13" width="16.140625" customWidth="1"/>
  </cols>
  <sheetData>
    <row r="1" spans="1:13" x14ac:dyDescent="0.25">
      <c r="A1" s="9"/>
      <c r="B1" s="11" t="s">
        <v>22</v>
      </c>
      <c r="C1" t="s">
        <v>79</v>
      </c>
    </row>
    <row r="2" spans="1:13" x14ac:dyDescent="0.25">
      <c r="B2" s="11" t="s">
        <v>25</v>
      </c>
      <c r="C2" t="s">
        <v>45</v>
      </c>
    </row>
    <row r="3" spans="1:13" x14ac:dyDescent="0.25">
      <c r="C3" s="35">
        <v>44926</v>
      </c>
      <c r="D3" s="35">
        <v>44926</v>
      </c>
      <c r="E3" s="35">
        <v>44926</v>
      </c>
      <c r="F3" s="35">
        <v>44926</v>
      </c>
      <c r="G3" s="35">
        <v>44926</v>
      </c>
      <c r="H3" s="35">
        <v>44926</v>
      </c>
      <c r="I3" s="35">
        <v>44926</v>
      </c>
    </row>
    <row r="4" spans="1:13" x14ac:dyDescent="0.25">
      <c r="A4" s="5" t="s">
        <v>0</v>
      </c>
      <c r="C4" s="1">
        <v>4204584</v>
      </c>
      <c r="D4" s="1">
        <v>280032</v>
      </c>
      <c r="E4" s="1">
        <v>2914643</v>
      </c>
      <c r="F4" s="1">
        <v>1435673</v>
      </c>
      <c r="G4" s="1">
        <v>880741</v>
      </c>
      <c r="H4" s="1">
        <v>241383</v>
      </c>
      <c r="I4" s="1">
        <v>516107</v>
      </c>
    </row>
    <row r="5" spans="1:13" x14ac:dyDescent="0.25">
      <c r="A5" s="5" t="s">
        <v>1</v>
      </c>
      <c r="C5" s="1">
        <v>4204584</v>
      </c>
      <c r="D5" s="1">
        <v>280032</v>
      </c>
      <c r="E5" s="1">
        <v>2914643</v>
      </c>
      <c r="F5" s="1">
        <v>1435673</v>
      </c>
      <c r="G5" s="1">
        <v>880741</v>
      </c>
      <c r="H5" s="1">
        <v>241383</v>
      </c>
      <c r="I5" s="1">
        <v>516107</v>
      </c>
    </row>
    <row r="6" spans="1:13" x14ac:dyDescent="0.25">
      <c r="A6" s="5" t="s">
        <v>2</v>
      </c>
      <c r="C6" s="2">
        <v>-110412</v>
      </c>
      <c r="D6" s="2">
        <v>56788</v>
      </c>
      <c r="E6" s="2">
        <f>2627391-37593-17435-73261-33456-1478328</f>
        <v>987318</v>
      </c>
      <c r="F6" s="2">
        <f>950286-594563</f>
        <v>355723</v>
      </c>
      <c r="G6" s="2">
        <f>617827-336400</f>
        <v>281427</v>
      </c>
      <c r="H6" s="2">
        <v>-16473</v>
      </c>
      <c r="I6" s="2">
        <f>415987-221600</f>
        <v>194387</v>
      </c>
    </row>
    <row r="7" spans="1:13" x14ac:dyDescent="0.25">
      <c r="A7" s="5" t="s">
        <v>3</v>
      </c>
      <c r="C7" s="2">
        <v>403237</v>
      </c>
      <c r="D7" s="2">
        <v>92615</v>
      </c>
      <c r="E7" s="2">
        <v>0</v>
      </c>
      <c r="F7" s="2">
        <v>0</v>
      </c>
      <c r="G7" s="2">
        <v>0</v>
      </c>
      <c r="H7" s="2">
        <v>0</v>
      </c>
      <c r="I7" s="2">
        <v>0</v>
      </c>
    </row>
    <row r="8" spans="1:13" x14ac:dyDescent="0.25">
      <c r="A8" s="5" t="s">
        <v>4</v>
      </c>
      <c r="C8" s="2">
        <f>+C7+C6</f>
        <v>292825</v>
      </c>
      <c r="D8" s="2">
        <f t="shared" ref="D8:I8" si="0">+D7+D6</f>
        <v>149403</v>
      </c>
      <c r="E8" s="2">
        <f t="shared" si="0"/>
        <v>987318</v>
      </c>
      <c r="F8" s="2">
        <f t="shared" si="0"/>
        <v>355723</v>
      </c>
      <c r="G8" s="2">
        <f t="shared" si="0"/>
        <v>281427</v>
      </c>
      <c r="H8" s="2">
        <f t="shared" si="0"/>
        <v>-16473</v>
      </c>
      <c r="I8" s="2">
        <f t="shared" si="0"/>
        <v>194387</v>
      </c>
    </row>
    <row r="9" spans="1:13" x14ac:dyDescent="0.25">
      <c r="A9" s="5" t="s">
        <v>5</v>
      </c>
      <c r="C9" s="2">
        <v>1061637</v>
      </c>
      <c r="D9" s="2">
        <v>99620</v>
      </c>
      <c r="E9" s="2">
        <v>1478328</v>
      </c>
      <c r="F9" s="2">
        <v>594563</v>
      </c>
      <c r="G9" s="2">
        <v>336400</v>
      </c>
      <c r="H9" s="2">
        <v>149627</v>
      </c>
      <c r="I9" s="2">
        <v>221600</v>
      </c>
    </row>
    <row r="10" spans="1:13" x14ac:dyDescent="0.25">
      <c r="A10" s="34" t="s">
        <v>6</v>
      </c>
      <c r="C10" s="2">
        <v>-599850</v>
      </c>
      <c r="D10" s="2">
        <v>0</v>
      </c>
      <c r="E10" s="2">
        <v>0</v>
      </c>
      <c r="F10" s="2">
        <v>0</v>
      </c>
      <c r="G10" s="2">
        <v>0</v>
      </c>
      <c r="H10" s="2">
        <v>0</v>
      </c>
      <c r="I10" s="2">
        <v>0</v>
      </c>
    </row>
    <row r="11" spans="1:13" x14ac:dyDescent="0.25">
      <c r="A11" s="5" t="s">
        <v>7</v>
      </c>
      <c r="C11" s="3">
        <f>+C9+C8+C10</f>
        <v>754612</v>
      </c>
      <c r="D11" s="3">
        <f t="shared" ref="D11:I11" si="1">+D9+D8+D10</f>
        <v>249023</v>
      </c>
      <c r="E11" s="3">
        <f t="shared" si="1"/>
        <v>2465646</v>
      </c>
      <c r="F11" s="3">
        <f t="shared" si="1"/>
        <v>950286</v>
      </c>
      <c r="G11" s="3">
        <f t="shared" si="1"/>
        <v>617827</v>
      </c>
      <c r="H11" s="3">
        <f t="shared" si="1"/>
        <v>133154</v>
      </c>
      <c r="I11" s="3">
        <f t="shared" si="1"/>
        <v>415987</v>
      </c>
    </row>
    <row r="12" spans="1:13" x14ac:dyDescent="0.25">
      <c r="A12" s="5" t="s">
        <v>8</v>
      </c>
      <c r="C12" s="2">
        <v>1797480</v>
      </c>
      <c r="D12" s="2">
        <v>163760</v>
      </c>
      <c r="E12" s="2">
        <v>2571288</v>
      </c>
      <c r="F12" s="2">
        <v>814380</v>
      </c>
      <c r="G12" s="2">
        <v>542244</v>
      </c>
      <c r="H12" s="2">
        <v>228540</v>
      </c>
      <c r="I12" s="2">
        <v>355959</v>
      </c>
    </row>
    <row r="13" spans="1:13" x14ac:dyDescent="0.25">
      <c r="A13" s="5" t="s">
        <v>9</v>
      </c>
      <c r="C13" s="4">
        <f>(C8+C9)/C12</f>
        <v>0.75353383625965242</v>
      </c>
      <c r="D13" s="4">
        <f t="shared" ref="D13:I13" si="2">(D8+D9)/D12</f>
        <v>1.5206582804103566</v>
      </c>
      <c r="E13" s="4">
        <f t="shared" si="2"/>
        <v>0.95891475400655235</v>
      </c>
      <c r="F13" s="4">
        <f t="shared" si="2"/>
        <v>1.1668827819936638</v>
      </c>
      <c r="G13" s="4">
        <f t="shared" si="2"/>
        <v>1.1393892786273339</v>
      </c>
      <c r="H13" s="4">
        <f t="shared" si="2"/>
        <v>0.58262886146845194</v>
      </c>
      <c r="I13" s="4">
        <f t="shared" si="2"/>
        <v>1.1686373992510373</v>
      </c>
    </row>
    <row r="14" spans="1:13" x14ac:dyDescent="0.25">
      <c r="A14" s="5" t="s">
        <v>10</v>
      </c>
      <c r="C14" s="4">
        <f>C11/C12</f>
        <v>0.41981663217393239</v>
      </c>
      <c r="D14" s="4">
        <f t="shared" ref="D14:I14" si="3">D11/D12</f>
        <v>1.5206582804103566</v>
      </c>
      <c r="E14" s="4">
        <f t="shared" si="3"/>
        <v>0.95891475400655235</v>
      </c>
      <c r="F14" s="4">
        <f t="shared" si="3"/>
        <v>1.1668827819936638</v>
      </c>
      <c r="G14" s="4">
        <f t="shared" si="3"/>
        <v>1.1393892786273339</v>
      </c>
      <c r="H14" s="4">
        <f t="shared" si="3"/>
        <v>0.58262886146845194</v>
      </c>
      <c r="I14" s="4">
        <f t="shared" si="3"/>
        <v>1.1686373992510373</v>
      </c>
    </row>
    <row r="15" spans="1:13" x14ac:dyDescent="0.25">
      <c r="A15" s="5"/>
      <c r="C15" s="2"/>
      <c r="D15" s="2"/>
      <c r="E15" s="2"/>
      <c r="F15" s="2"/>
      <c r="G15" s="2"/>
      <c r="H15" s="2"/>
      <c r="I15" s="2"/>
      <c r="J15" s="2"/>
      <c r="K15" s="2"/>
      <c r="L15" s="2"/>
      <c r="M15" s="2"/>
    </row>
    <row r="16" spans="1:13" x14ac:dyDescent="0.25">
      <c r="A16" s="5" t="s">
        <v>11</v>
      </c>
      <c r="C16" s="6">
        <f t="shared" ref="C16:I16" si="4">C5-C6</f>
        <v>4314996</v>
      </c>
      <c r="D16" s="6">
        <f t="shared" si="4"/>
        <v>223244</v>
      </c>
      <c r="E16" s="6">
        <f t="shared" si="4"/>
        <v>1927325</v>
      </c>
      <c r="F16" s="6">
        <f t="shared" si="4"/>
        <v>1079950</v>
      </c>
      <c r="G16" s="6">
        <f t="shared" si="4"/>
        <v>599314</v>
      </c>
      <c r="H16" s="6">
        <f t="shared" si="4"/>
        <v>257856</v>
      </c>
      <c r="I16" s="6">
        <f t="shared" si="4"/>
        <v>321720</v>
      </c>
      <c r="J16" s="6" t="e">
        <f>#REF!-#REF!</f>
        <v>#REF!</v>
      </c>
      <c r="K16" s="6" t="e">
        <f>#REF!-#REF!</f>
        <v>#REF!</v>
      </c>
      <c r="L16" s="6" t="e">
        <f>#REF!-#REF!</f>
        <v>#REF!</v>
      </c>
      <c r="M16" s="6" t="e">
        <f>#REF!-#REF!</f>
        <v>#REF!</v>
      </c>
    </row>
    <row r="19" spans="1:13" x14ac:dyDescent="0.25">
      <c r="A19" t="s">
        <v>12</v>
      </c>
      <c r="C19" s="7">
        <v>5303100</v>
      </c>
      <c r="D19" s="7">
        <v>1948467</v>
      </c>
      <c r="E19" s="7">
        <v>33319964</v>
      </c>
      <c r="F19" s="7">
        <v>11325000</v>
      </c>
      <c r="G19" s="7">
        <v>6728000</v>
      </c>
      <c r="H19" s="7">
        <v>2552139</v>
      </c>
      <c r="I19" s="7">
        <v>4432197</v>
      </c>
      <c r="J19" s="7">
        <v>0</v>
      </c>
      <c r="K19" s="7">
        <v>0</v>
      </c>
      <c r="L19" s="7">
        <v>0</v>
      </c>
      <c r="M19" s="7">
        <v>0</v>
      </c>
    </row>
    <row r="20" spans="1:13" ht="17.25" x14ac:dyDescent="0.4">
      <c r="A20" t="s">
        <v>13</v>
      </c>
      <c r="C20" s="8">
        <v>7685000</v>
      </c>
      <c r="D20" s="8">
        <v>2860000</v>
      </c>
      <c r="E20" s="8">
        <v>49400000</v>
      </c>
      <c r="F20" s="8">
        <v>15000000</v>
      </c>
      <c r="G20" s="8">
        <v>8410000</v>
      </c>
      <c r="H20" s="8">
        <v>5415000</v>
      </c>
      <c r="I20" s="8">
        <v>6404000</v>
      </c>
      <c r="J20" s="8">
        <v>0</v>
      </c>
      <c r="K20" s="8">
        <v>0</v>
      </c>
      <c r="L20" s="8">
        <v>0</v>
      </c>
      <c r="M20" s="8">
        <v>0</v>
      </c>
    </row>
    <row r="21" spans="1:13" x14ac:dyDescent="0.25">
      <c r="A21" t="s">
        <v>14</v>
      </c>
      <c r="C21" s="10">
        <f>C19/C20</f>
        <v>0.69005855562784646</v>
      </c>
      <c r="D21" s="10">
        <f t="shared" ref="D21:M21" si="5">D19/D20</f>
        <v>0.68128216783216788</v>
      </c>
      <c r="E21" s="10">
        <f t="shared" si="5"/>
        <v>0.67449319838056676</v>
      </c>
      <c r="F21" s="10">
        <f t="shared" si="5"/>
        <v>0.755</v>
      </c>
      <c r="G21" s="10">
        <f t="shared" si="5"/>
        <v>0.8</v>
      </c>
      <c r="H21" s="10">
        <f t="shared" si="5"/>
        <v>0.47130914127423823</v>
      </c>
      <c r="I21" s="10">
        <f t="shared" si="5"/>
        <v>0.69209821986258591</v>
      </c>
      <c r="J21" s="10" t="e">
        <f t="shared" si="5"/>
        <v>#DIV/0!</v>
      </c>
      <c r="K21" s="10" t="e">
        <f t="shared" si="5"/>
        <v>#DIV/0!</v>
      </c>
      <c r="L21" s="10" t="e">
        <f t="shared" si="5"/>
        <v>#DIV/0!</v>
      </c>
      <c r="M21" s="10" t="e">
        <f t="shared" si="5"/>
        <v>#DIV/0!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EC19-6B5B-4569-9394-098C36435E99}">
  <dimension ref="A1:I22"/>
  <sheetViews>
    <sheetView workbookViewId="0">
      <selection activeCell="C7" sqref="C7"/>
    </sheetView>
  </sheetViews>
  <sheetFormatPr defaultRowHeight="15" x14ac:dyDescent="0.25"/>
  <cols>
    <col min="1" max="1" width="38.85546875" customWidth="1"/>
    <col min="3" max="3" width="17.140625" customWidth="1"/>
    <col min="4" max="9" width="16.140625" customWidth="1"/>
  </cols>
  <sheetData>
    <row r="1" spans="1:9" x14ac:dyDescent="0.25">
      <c r="A1" s="9"/>
      <c r="B1" s="11" t="s">
        <v>22</v>
      </c>
      <c r="C1" t="s">
        <v>79</v>
      </c>
    </row>
    <row r="2" spans="1:9" x14ac:dyDescent="0.25">
      <c r="B2" s="11" t="s">
        <v>25</v>
      </c>
      <c r="C2" t="s">
        <v>45</v>
      </c>
    </row>
    <row r="3" spans="1:9" x14ac:dyDescent="0.25">
      <c r="B3" s="11" t="s">
        <v>78</v>
      </c>
      <c r="C3" s="35" t="s">
        <v>86</v>
      </c>
      <c r="D3" s="36">
        <v>44926</v>
      </c>
      <c r="E3" s="36">
        <v>44926</v>
      </c>
      <c r="F3" s="36">
        <v>44926</v>
      </c>
      <c r="G3" s="36">
        <v>44926</v>
      </c>
      <c r="H3" s="36">
        <v>44926</v>
      </c>
    </row>
    <row r="4" spans="1:9" x14ac:dyDescent="0.25">
      <c r="A4" s="5" t="s">
        <v>0</v>
      </c>
      <c r="C4" s="1">
        <v>277379</v>
      </c>
      <c r="D4" s="1">
        <v>1047421</v>
      </c>
      <c r="E4" s="1">
        <v>192143</v>
      </c>
      <c r="F4" s="1">
        <v>500000</v>
      </c>
      <c r="G4" s="1">
        <v>498366</v>
      </c>
      <c r="H4" s="1">
        <v>342730</v>
      </c>
      <c r="I4" s="1"/>
    </row>
    <row r="5" spans="1:9" x14ac:dyDescent="0.25">
      <c r="A5" s="5" t="s">
        <v>1</v>
      </c>
      <c r="C5" s="1">
        <v>277379</v>
      </c>
      <c r="D5" s="1">
        <v>1047421</v>
      </c>
      <c r="E5" s="1">
        <v>192143</v>
      </c>
      <c r="F5" s="1">
        <v>500000</v>
      </c>
      <c r="G5" s="1">
        <v>498366</v>
      </c>
      <c r="H5" s="1">
        <v>342730</v>
      </c>
      <c r="I5" s="1"/>
    </row>
    <row r="6" spans="1:9" x14ac:dyDescent="0.25">
      <c r="A6" s="5" t="s">
        <v>2</v>
      </c>
      <c r="C6" s="2">
        <f>126141-432262</f>
        <v>-306121</v>
      </c>
      <c r="D6" s="2">
        <f>652550-324450</f>
        <v>328100</v>
      </c>
      <c r="E6" s="2">
        <v>-53759</v>
      </c>
      <c r="F6" s="2">
        <v>-180000</v>
      </c>
      <c r="G6" s="2">
        <f>394184-209018</f>
        <v>185166</v>
      </c>
      <c r="H6" s="2">
        <v>-38105</v>
      </c>
      <c r="I6" s="2"/>
    </row>
    <row r="7" spans="1:9" x14ac:dyDescent="0.25">
      <c r="A7" s="5" t="s">
        <v>3</v>
      </c>
      <c r="C7" s="2">
        <v>0</v>
      </c>
      <c r="D7" s="2">
        <v>0</v>
      </c>
      <c r="E7" s="2">
        <v>97807</v>
      </c>
      <c r="F7" s="2">
        <v>375000</v>
      </c>
      <c r="G7" s="2">
        <v>0</v>
      </c>
      <c r="H7" s="2">
        <v>82833</v>
      </c>
      <c r="I7" s="2"/>
    </row>
    <row r="8" spans="1:9" x14ac:dyDescent="0.25">
      <c r="A8" s="5" t="s">
        <v>4</v>
      </c>
      <c r="C8" s="2">
        <f>+C7+C6</f>
        <v>-306121</v>
      </c>
      <c r="D8" s="2">
        <f t="shared" ref="D8:H8" si="0">+D7+D6</f>
        <v>328100</v>
      </c>
      <c r="E8" s="2">
        <f t="shared" si="0"/>
        <v>44048</v>
      </c>
      <c r="F8" s="2">
        <f t="shared" si="0"/>
        <v>195000</v>
      </c>
      <c r="G8" s="2">
        <f t="shared" si="0"/>
        <v>185166</v>
      </c>
      <c r="H8" s="2">
        <f t="shared" si="0"/>
        <v>44728</v>
      </c>
      <c r="I8" s="2"/>
    </row>
    <row r="9" spans="1:9" x14ac:dyDescent="0.25">
      <c r="A9" s="5" t="s">
        <v>5</v>
      </c>
      <c r="C9" s="2">
        <v>432262</v>
      </c>
      <c r="D9" s="2">
        <v>324450</v>
      </c>
      <c r="E9" s="2">
        <v>108658</v>
      </c>
      <c r="F9" s="2">
        <v>136962</v>
      </c>
      <c r="G9" s="2">
        <v>209018</v>
      </c>
      <c r="H9" s="2">
        <v>165832</v>
      </c>
      <c r="I9" s="2"/>
    </row>
    <row r="10" spans="1:9" x14ac:dyDescent="0.25">
      <c r="A10" s="34" t="s">
        <v>6</v>
      </c>
      <c r="C10" s="2">
        <v>0</v>
      </c>
      <c r="D10" s="2">
        <v>0</v>
      </c>
      <c r="E10" s="2">
        <v>0</v>
      </c>
      <c r="F10" s="2">
        <v>0</v>
      </c>
      <c r="G10" s="2">
        <v>0</v>
      </c>
      <c r="H10" s="2">
        <v>0</v>
      </c>
      <c r="I10" s="2"/>
    </row>
    <row r="11" spans="1:9" x14ac:dyDescent="0.25">
      <c r="A11" s="5" t="s">
        <v>7</v>
      </c>
      <c r="C11" s="3">
        <f>+C9+C8+C10</f>
        <v>126141</v>
      </c>
      <c r="D11" s="3">
        <f t="shared" ref="D11:H11" si="1">+D9+D8+D10</f>
        <v>652550</v>
      </c>
      <c r="E11" s="3">
        <f t="shared" si="1"/>
        <v>152706</v>
      </c>
      <c r="F11" s="3">
        <f t="shared" si="1"/>
        <v>331962</v>
      </c>
      <c r="G11" s="3">
        <f t="shared" si="1"/>
        <v>394184</v>
      </c>
      <c r="H11" s="3">
        <f t="shared" si="1"/>
        <v>210560</v>
      </c>
      <c r="I11" s="3"/>
    </row>
    <row r="12" spans="1:9" x14ac:dyDescent="0.25">
      <c r="A12" s="5" t="s">
        <v>8</v>
      </c>
      <c r="C12" s="2">
        <v>432262</v>
      </c>
      <c r="D12" s="2">
        <v>505224</v>
      </c>
      <c r="E12" s="2">
        <v>136740</v>
      </c>
      <c r="F12" s="2">
        <v>260000</v>
      </c>
      <c r="G12" s="2">
        <v>315624</v>
      </c>
      <c r="H12" s="2">
        <v>260640</v>
      </c>
      <c r="I12" s="2"/>
    </row>
    <row r="13" spans="1:9" x14ac:dyDescent="0.25">
      <c r="A13" s="5" t="s">
        <v>9</v>
      </c>
      <c r="C13" s="4">
        <f>(C8+C9)/C12</f>
        <v>0.2918160745103664</v>
      </c>
      <c r="D13" s="4">
        <f t="shared" ref="D13:H13" si="2">(D8+D9)/D12</f>
        <v>1.2916053077446836</v>
      </c>
      <c r="E13" s="4">
        <f t="shared" si="2"/>
        <v>1.1167617376042123</v>
      </c>
      <c r="F13" s="4">
        <f t="shared" si="2"/>
        <v>1.276776923076923</v>
      </c>
      <c r="G13" s="4">
        <f t="shared" si="2"/>
        <v>1.2489037589029985</v>
      </c>
      <c r="H13" s="4">
        <f t="shared" si="2"/>
        <v>0.80785758133824437</v>
      </c>
      <c r="I13" s="4"/>
    </row>
    <row r="14" spans="1:9" x14ac:dyDescent="0.25">
      <c r="A14" s="5" t="s">
        <v>10</v>
      </c>
      <c r="C14" s="4">
        <f>C11/C12</f>
        <v>0.2918160745103664</v>
      </c>
      <c r="D14" s="4">
        <f t="shared" ref="D14:H14" si="3">D11/D12</f>
        <v>1.2916053077446836</v>
      </c>
      <c r="E14" s="4">
        <f t="shared" si="3"/>
        <v>1.1167617376042123</v>
      </c>
      <c r="F14" s="4">
        <f t="shared" si="3"/>
        <v>1.276776923076923</v>
      </c>
      <c r="G14" s="4">
        <f t="shared" si="3"/>
        <v>1.2489037589029985</v>
      </c>
      <c r="H14" s="4">
        <f t="shared" si="3"/>
        <v>0.80785758133824437</v>
      </c>
      <c r="I14" s="4"/>
    </row>
    <row r="15" spans="1:9" x14ac:dyDescent="0.25">
      <c r="A15" s="5"/>
      <c r="C15" s="2"/>
      <c r="D15" s="2"/>
      <c r="E15" s="2"/>
      <c r="F15" s="2"/>
      <c r="G15" s="2"/>
      <c r="H15" s="2"/>
      <c r="I15" s="2"/>
    </row>
    <row r="17" spans="1:9" x14ac:dyDescent="0.25">
      <c r="A17" s="5" t="s">
        <v>11</v>
      </c>
      <c r="C17" s="6">
        <f t="shared" ref="C17:H17" si="4">C5-C6</f>
        <v>583500</v>
      </c>
      <c r="D17" s="6">
        <f t="shared" si="4"/>
        <v>719321</v>
      </c>
      <c r="E17" s="6">
        <f t="shared" si="4"/>
        <v>245902</v>
      </c>
      <c r="F17" s="6">
        <f t="shared" si="4"/>
        <v>680000</v>
      </c>
      <c r="G17" s="6">
        <f t="shared" si="4"/>
        <v>313200</v>
      </c>
      <c r="H17" s="6">
        <f t="shared" si="4"/>
        <v>380835</v>
      </c>
      <c r="I17" s="6"/>
    </row>
    <row r="20" spans="1:9" x14ac:dyDescent="0.25">
      <c r="A20" t="s">
        <v>12</v>
      </c>
      <c r="C20" s="7">
        <v>9959250</v>
      </c>
      <c r="D20" s="7">
        <v>6300000</v>
      </c>
      <c r="E20" s="7">
        <v>2171448</v>
      </c>
      <c r="F20" s="7">
        <v>4127976</v>
      </c>
      <c r="G20" s="7">
        <v>4805000</v>
      </c>
      <c r="H20" s="7">
        <v>2957802</v>
      </c>
      <c r="I20" s="7"/>
    </row>
    <row r="21" spans="1:9" ht="17.25" x14ac:dyDescent="0.4">
      <c r="A21" t="s">
        <v>13</v>
      </c>
      <c r="C21" s="8">
        <v>13279000</v>
      </c>
      <c r="D21" s="8">
        <v>9000000</v>
      </c>
      <c r="E21" s="8">
        <v>2150000</v>
      </c>
      <c r="F21" s="8">
        <v>6494000</v>
      </c>
      <c r="G21" s="8">
        <v>6850000</v>
      </c>
      <c r="H21" s="8">
        <v>4490000</v>
      </c>
      <c r="I21" s="8"/>
    </row>
    <row r="22" spans="1:9" x14ac:dyDescent="0.25">
      <c r="A22" t="s">
        <v>14</v>
      </c>
      <c r="C22" s="10">
        <f>C20/C21</f>
        <v>0.75</v>
      </c>
      <c r="D22" s="10">
        <f t="shared" ref="D22:H22" si="5">D20/D21</f>
        <v>0.7</v>
      </c>
      <c r="E22" s="10">
        <f t="shared" si="5"/>
        <v>1.0099758139534885</v>
      </c>
      <c r="F22" s="10">
        <f t="shared" si="5"/>
        <v>0.63565999384046812</v>
      </c>
      <c r="G22" s="10">
        <f t="shared" si="5"/>
        <v>0.70145985401459854</v>
      </c>
      <c r="H22" s="10">
        <f t="shared" si="5"/>
        <v>0.65875322939866365</v>
      </c>
      <c r="I22" s="1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25934-7C13-44FA-B7A5-C15A28BB7934}">
  <dimension ref="A1:H21"/>
  <sheetViews>
    <sheetView workbookViewId="0">
      <selection activeCell="C3" sqref="C3"/>
    </sheetView>
  </sheetViews>
  <sheetFormatPr defaultRowHeight="15" x14ac:dyDescent="0.25"/>
  <cols>
    <col min="1" max="1" width="38.85546875" customWidth="1"/>
    <col min="3" max="3" width="17.140625" customWidth="1"/>
    <col min="4" max="8" width="16.140625" customWidth="1"/>
  </cols>
  <sheetData>
    <row r="1" spans="1:8" x14ac:dyDescent="0.25">
      <c r="A1" s="9"/>
      <c r="B1" s="11" t="s">
        <v>22</v>
      </c>
      <c r="C1" t="s">
        <v>79</v>
      </c>
    </row>
    <row r="2" spans="1:8" x14ac:dyDescent="0.25">
      <c r="B2" s="11" t="s">
        <v>25</v>
      </c>
      <c r="C2" t="s">
        <v>47</v>
      </c>
    </row>
    <row r="3" spans="1:8" x14ac:dyDescent="0.25">
      <c r="B3" s="11" t="s">
        <v>78</v>
      </c>
      <c r="C3" s="35">
        <v>44926</v>
      </c>
      <c r="D3" s="35">
        <v>44926</v>
      </c>
      <c r="E3" s="35">
        <v>44926</v>
      </c>
      <c r="F3" s="35">
        <v>44926</v>
      </c>
      <c r="G3" s="35">
        <v>44926</v>
      </c>
      <c r="H3" s="35">
        <v>44926</v>
      </c>
    </row>
    <row r="4" spans="1:8" x14ac:dyDescent="0.25">
      <c r="A4" s="5" t="s">
        <v>0</v>
      </c>
      <c r="C4" s="1">
        <v>851294</v>
      </c>
      <c r="D4" s="1">
        <v>1128323</v>
      </c>
      <c r="E4" s="1">
        <v>238000</v>
      </c>
      <c r="F4" s="1">
        <v>359700</v>
      </c>
      <c r="G4" s="1">
        <v>874345</v>
      </c>
      <c r="H4" s="1">
        <v>535468</v>
      </c>
    </row>
    <row r="5" spans="1:8" x14ac:dyDescent="0.25">
      <c r="A5" s="5" t="s">
        <v>1</v>
      </c>
      <c r="C5" s="1">
        <v>851294</v>
      </c>
      <c r="D5" s="1">
        <v>1128323</v>
      </c>
      <c r="E5" s="1">
        <v>238000</v>
      </c>
      <c r="F5" s="1">
        <v>359700</v>
      </c>
      <c r="G5" s="1">
        <v>874345</v>
      </c>
      <c r="H5" s="1">
        <v>535468</v>
      </c>
    </row>
    <row r="6" spans="1:8" x14ac:dyDescent="0.25">
      <c r="A6" s="5" t="s">
        <v>2</v>
      </c>
      <c r="C6" s="2">
        <v>279974</v>
      </c>
      <c r="D6" s="2">
        <f>972193-346457</f>
        <v>625736</v>
      </c>
      <c r="E6" s="2">
        <f>199200-119900</f>
        <v>79300</v>
      </c>
      <c r="F6" s="2">
        <f>235100-114900</f>
        <v>120200</v>
      </c>
      <c r="G6" s="2">
        <f>617756-250000</f>
        <v>367756</v>
      </c>
      <c r="H6" s="2">
        <v>-57585</v>
      </c>
    </row>
    <row r="7" spans="1:8" x14ac:dyDescent="0.25">
      <c r="A7" s="5" t="s">
        <v>3</v>
      </c>
      <c r="C7" s="2">
        <v>0</v>
      </c>
      <c r="D7" s="2">
        <v>0</v>
      </c>
      <c r="E7" s="2">
        <v>0</v>
      </c>
      <c r="F7" s="2">
        <v>0</v>
      </c>
      <c r="G7" s="2">
        <v>0</v>
      </c>
      <c r="H7" s="2">
        <v>147934</v>
      </c>
    </row>
    <row r="8" spans="1:8" x14ac:dyDescent="0.25">
      <c r="A8" s="5" t="s">
        <v>4</v>
      </c>
      <c r="C8" s="2">
        <f>+C7+C6</f>
        <v>279974</v>
      </c>
      <c r="D8" s="2">
        <f t="shared" ref="D8:H8" si="0">+D7+D6</f>
        <v>625736</v>
      </c>
      <c r="E8" s="2">
        <f t="shared" si="0"/>
        <v>79300</v>
      </c>
      <c r="F8" s="2">
        <f t="shared" si="0"/>
        <v>120200</v>
      </c>
      <c r="G8" s="2">
        <f t="shared" si="0"/>
        <v>367756</v>
      </c>
      <c r="H8" s="2">
        <f t="shared" si="0"/>
        <v>90349</v>
      </c>
    </row>
    <row r="9" spans="1:8" x14ac:dyDescent="0.25">
      <c r="A9" s="5" t="s">
        <v>5</v>
      </c>
      <c r="C9" s="2">
        <v>274560</v>
      </c>
      <c r="D9" s="2">
        <v>346457</v>
      </c>
      <c r="E9" s="2">
        <v>119900</v>
      </c>
      <c r="F9" s="2">
        <v>114900</v>
      </c>
      <c r="G9" s="2">
        <v>250000</v>
      </c>
      <c r="H9" s="2">
        <v>248653</v>
      </c>
    </row>
    <row r="10" spans="1:8" x14ac:dyDescent="0.25">
      <c r="A10" s="34" t="s">
        <v>6</v>
      </c>
      <c r="C10" s="2">
        <v>0</v>
      </c>
      <c r="D10" s="2">
        <v>0</v>
      </c>
      <c r="E10" s="2">
        <v>0</v>
      </c>
      <c r="F10" s="2">
        <v>0</v>
      </c>
      <c r="G10" s="2">
        <v>0</v>
      </c>
      <c r="H10" s="2">
        <v>0</v>
      </c>
    </row>
    <row r="11" spans="1:8" x14ac:dyDescent="0.25">
      <c r="A11" s="5" t="s">
        <v>7</v>
      </c>
      <c r="C11" s="3">
        <f>+C9+C8+C10</f>
        <v>554534</v>
      </c>
      <c r="D11" s="3">
        <f t="shared" ref="D11:H11" si="1">+D9+D8+D10</f>
        <v>972193</v>
      </c>
      <c r="E11" s="3">
        <f t="shared" si="1"/>
        <v>199200</v>
      </c>
      <c r="F11" s="3">
        <f t="shared" si="1"/>
        <v>235100</v>
      </c>
      <c r="G11" s="3">
        <f t="shared" si="1"/>
        <v>617756</v>
      </c>
      <c r="H11" s="3">
        <f t="shared" si="1"/>
        <v>339002</v>
      </c>
    </row>
    <row r="12" spans="1:8" x14ac:dyDescent="0.25">
      <c r="A12" s="5" t="s">
        <v>8</v>
      </c>
      <c r="C12" s="2">
        <v>327072</v>
      </c>
      <c r="D12" s="2">
        <v>798500</v>
      </c>
      <c r="E12" s="2">
        <v>205200</v>
      </c>
      <c r="F12" s="2">
        <v>200400</v>
      </c>
      <c r="G12" s="2">
        <v>627780</v>
      </c>
      <c r="H12" s="2">
        <v>442851</v>
      </c>
    </row>
    <row r="13" spans="1:8" x14ac:dyDescent="0.25">
      <c r="A13" s="5" t="s">
        <v>9</v>
      </c>
      <c r="C13" s="4">
        <f>(C8+C9)/C12</f>
        <v>1.6954493200273946</v>
      </c>
      <c r="D13" s="4">
        <f t="shared" ref="D13:H13" si="2">(D8+D9)/D12</f>
        <v>1.2175241077019412</v>
      </c>
      <c r="E13" s="4">
        <f t="shared" si="2"/>
        <v>0.9707602339181286</v>
      </c>
      <c r="F13" s="4">
        <f t="shared" si="2"/>
        <v>1.1731536926147705</v>
      </c>
      <c r="G13" s="4">
        <f t="shared" si="2"/>
        <v>0.98403262289337023</v>
      </c>
      <c r="H13" s="4">
        <f t="shared" si="2"/>
        <v>0.76549900530878334</v>
      </c>
    </row>
    <row r="14" spans="1:8" x14ac:dyDescent="0.25">
      <c r="A14" s="5" t="s">
        <v>10</v>
      </c>
      <c r="C14" s="4">
        <f>C11/C12</f>
        <v>1.6954493200273946</v>
      </c>
      <c r="D14" s="4">
        <f t="shared" ref="D14:H14" si="3">D11/D12</f>
        <v>1.2175241077019412</v>
      </c>
      <c r="E14" s="4">
        <f t="shared" si="3"/>
        <v>0.9707602339181286</v>
      </c>
      <c r="F14" s="4">
        <f t="shared" si="3"/>
        <v>1.1731536926147705</v>
      </c>
      <c r="G14" s="4">
        <f t="shared" si="3"/>
        <v>0.98403262289337023</v>
      </c>
      <c r="H14" s="4">
        <f t="shared" si="3"/>
        <v>0.76549900530878334</v>
      </c>
    </row>
    <row r="15" spans="1:8" x14ac:dyDescent="0.25">
      <c r="A15" s="5"/>
      <c r="C15" s="2"/>
      <c r="D15" s="2"/>
      <c r="E15" s="2"/>
      <c r="F15" s="2"/>
      <c r="G15" s="2"/>
      <c r="H15" s="2"/>
    </row>
    <row r="16" spans="1:8" x14ac:dyDescent="0.25">
      <c r="A16" s="5" t="s">
        <v>11</v>
      </c>
      <c r="C16" s="6">
        <f t="shared" ref="C16:H16" si="4">C5-C6</f>
        <v>571320</v>
      </c>
      <c r="D16" s="6">
        <f t="shared" si="4"/>
        <v>502587</v>
      </c>
      <c r="E16" s="6">
        <f t="shared" si="4"/>
        <v>158700</v>
      </c>
      <c r="F16" s="6">
        <f t="shared" si="4"/>
        <v>239500</v>
      </c>
      <c r="G16" s="6">
        <f t="shared" si="4"/>
        <v>506589</v>
      </c>
      <c r="H16" s="6">
        <f t="shared" si="4"/>
        <v>593053</v>
      </c>
    </row>
    <row r="19" spans="1:8" x14ac:dyDescent="0.25">
      <c r="A19" t="s">
        <v>12</v>
      </c>
      <c r="C19" s="7">
        <v>4048718</v>
      </c>
      <c r="D19" s="7">
        <v>5415370</v>
      </c>
      <c r="E19" s="7">
        <v>2398610</v>
      </c>
      <c r="F19" s="7">
        <v>2298000</v>
      </c>
      <c r="G19" s="7">
        <v>5000000</v>
      </c>
      <c r="H19" s="7">
        <v>5040480</v>
      </c>
    </row>
    <row r="20" spans="1:8" ht="17.25" x14ac:dyDescent="0.4">
      <c r="A20" t="s">
        <v>13</v>
      </c>
      <c r="C20" s="8">
        <v>5200000</v>
      </c>
      <c r="D20" s="8">
        <v>11147000</v>
      </c>
      <c r="E20" s="8">
        <v>2085000</v>
      </c>
      <c r="F20" s="8">
        <v>3328000</v>
      </c>
      <c r="G20" s="8">
        <v>6850000</v>
      </c>
      <c r="H20" s="8">
        <v>7939537</v>
      </c>
    </row>
    <row r="21" spans="1:8" x14ac:dyDescent="0.25">
      <c r="A21" t="s">
        <v>14</v>
      </c>
      <c r="C21" s="10">
        <f>C19/C20</f>
        <v>0.77859961538461542</v>
      </c>
      <c r="D21" s="10">
        <f t="shared" ref="D21:H21" si="5">D19/D20</f>
        <v>0.48581412039113664</v>
      </c>
      <c r="E21" s="10">
        <f t="shared" si="5"/>
        <v>1.1504124700239808</v>
      </c>
      <c r="F21" s="10">
        <f t="shared" si="5"/>
        <v>0.69050480769230771</v>
      </c>
      <c r="G21" s="10">
        <f t="shared" si="5"/>
        <v>0.72992700729927007</v>
      </c>
      <c r="H21" s="10">
        <f t="shared" si="5"/>
        <v>0.63485817875777895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Summary</vt:lpstr>
      <vt:lpstr>Stress Testing Calculations</vt:lpstr>
      <vt:lpstr>Farm data</vt:lpstr>
      <vt:lpstr>Hotel data</vt:lpstr>
      <vt:lpstr>Apartment data</vt:lpstr>
      <vt:lpstr>Retail property data</vt:lpstr>
      <vt:lpstr>Office property data</vt:lpstr>
      <vt:lpstr>Oil related CRE data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Falkenstein, Dave L.</dc:creator>
  <cp:lastModifiedBy>Morey, Mike R.</cp:lastModifiedBy>
  <cp:lastPrinted>2020-02-11T20:01:15Z</cp:lastPrinted>
  <dcterms:created xsi:type="dcterms:W3CDTF">2020-01-07T19:22:22Z</dcterms:created>
  <dcterms:modified xsi:type="dcterms:W3CDTF">2024-08-09T15:15:58Z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{3EB522DB-775D-4817-B58D-E5E300CC65EF}</vt:lpwstr>
  </property>
</Properties>
</file>